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defaultThemeVersion="124226" filterPrivacy="1" updateLinks="never"/>
  <xr:revisionPtr xr6:coauthVersionLast="47" xr6:coauthVersionMax="47" documentId="13_ncr:1_{E9B8B3CC-7BD2-409F-9E49-5B92E35B7DAF}" revIDLastSave="0" xr10:uidLastSave="{00000000-0000-0000-0000-000000000000}"/>
  <workbookProtection lockStructure="1" workbookAlgorithmName="SHA-512" workbookHashValue="8MWS/VzqFwq/UTevSew5FiG/N+0lNvzdXP9SBz1cHHyS7v+GQuMFkxdQnN+tEW+jYUPsZ39MEvH0NpIrKzW0Qg==" workbookSaltValue="ca11EmTRWuWkRjERWA97+Q==" workbookSpinCount="100000"/>
  <bookViews>
    <workbookView tabRatio="553" xr2:uid="{00000000-000D-0000-FFFF-FFFF00000000}" windowHeight="15840" windowWidth="29040" xWindow="-120" yWindow="-16320"/>
  </bookViews>
  <sheets>
    <sheet r:id="rId1" name="既存設備" sheetId="51"/>
    <sheet r:id="rId2" name="導入予定設備" sheetId="38"/>
    <sheet r:id="rId3" name="&lt;吸収式&gt;マスタ" sheetId="2" state="hidden"/>
  </sheets>
  <definedNames>
    <definedName hidden="1" localSheetId="2" name="_xlnm._FilterDatabase">'&lt;吸収式&gt;マスタ'!$AE$6:$AJ$103</definedName>
    <definedName localSheetId="2" name="_xlnm.Print_Area">'&lt;吸収式&gt;マスタ'!$B$2:$AQ$103</definedName>
    <definedName localSheetId="0" name="_xlnm.Print_Area">既存設備!$A$1:$AN$69</definedName>
    <definedName localSheetId="1" name="_xlnm.Print_Area">導入予定設備!$A$1:$AN$68</definedName>
    <definedName localSheetId="1" name="_xlnm.Print_Titles">導入予定設備!$3:$15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38" l="1"/>
  <c r="G38" i="51"/>
  <c r="W57" i="38"/>
  <c r="W58" i="38"/>
  <c r="W59" i="38"/>
  <c r="W60" i="38"/>
  <c r="W61" i="38"/>
  <c r="W62" i="38"/>
  <c r="W63" i="38"/>
  <c r="W64" i="38"/>
  <c r="W65" i="38"/>
  <c r="W66" i="38"/>
  <c r="W55" i="38"/>
  <c r="J66" i="38"/>
  <c r="J65" i="38"/>
  <c r="J64" i="38"/>
  <c r="J63" i="38"/>
  <c r="J62" i="38"/>
  <c r="J61" i="38"/>
  <c r="J60" i="38"/>
  <c r="J59" i="38"/>
  <c r="J58" i="38"/>
  <c r="J57" i="38"/>
  <c r="J55" i="38"/>
  <c r="Q48" i="38"/>
  <c r="Q47" i="38"/>
  <c r="Q46" i="38"/>
  <c r="Q45" i="38"/>
  <c r="Q44" i="38"/>
  <c r="Q43" i="38"/>
  <c r="Q42" i="38"/>
  <c r="Q41" i="38"/>
  <c r="Q40" i="38"/>
  <c r="Q39" i="38"/>
  <c r="Q37" i="38"/>
  <c r="J48" i="38"/>
  <c r="J47" i="38"/>
  <c r="J46" i="38"/>
  <c r="J45" i="38"/>
  <c r="J44" i="38"/>
  <c r="J43" i="38"/>
  <c r="J42" i="38"/>
  <c r="J41" i="38"/>
  <c r="J40" i="38"/>
  <c r="J39" i="38"/>
  <c r="J37" i="38"/>
  <c r="J56" i="51"/>
  <c r="W56" i="51" s="1"/>
  <c r="W67" i="51"/>
  <c r="W66" i="51"/>
  <c r="W65" i="51"/>
  <c r="W64" i="51"/>
  <c r="W63" i="51"/>
  <c r="W62" i="51"/>
  <c r="W61" i="51"/>
  <c r="W60" i="51"/>
  <c r="W59" i="51"/>
  <c r="W58" i="51"/>
  <c r="J67" i="51"/>
  <c r="J66" i="51"/>
  <c r="J65" i="51"/>
  <c r="J64" i="51"/>
  <c r="J63" i="51"/>
  <c r="J62" i="51"/>
  <c r="J61" i="51"/>
  <c r="J60" i="51"/>
  <c r="J59" i="51"/>
  <c r="J58" i="51"/>
  <c r="G48" i="51"/>
  <c r="I21" i="51"/>
  <c r="Q38" i="51"/>
  <c r="Q39" i="51"/>
  <c r="Q40" i="51"/>
  <c r="Q41" i="51"/>
  <c r="Q42" i="51"/>
  <c r="Q43" i="51"/>
  <c r="Q44" i="51"/>
  <c r="Q45" i="51"/>
  <c r="Q46" i="51"/>
  <c r="Q47" i="51"/>
  <c r="Q48" i="51"/>
  <c r="Q37" i="51"/>
  <c r="M38" i="51"/>
  <c r="M39" i="51"/>
  <c r="M40" i="51"/>
  <c r="M41" i="51"/>
  <c r="M41" i="38" s="1"/>
  <c r="M42" i="51"/>
  <c r="M42" i="38" s="1"/>
  <c r="M43" i="51"/>
  <c r="M43" i="38" s="1"/>
  <c r="M44" i="51"/>
  <c r="M45" i="51"/>
  <c r="M46" i="51"/>
  <c r="M47" i="51"/>
  <c r="M48" i="51"/>
  <c r="M48" i="38" s="1"/>
  <c r="M37" i="51"/>
  <c r="G37" i="51"/>
  <c r="G37" i="38" s="1"/>
  <c r="M47" i="38"/>
  <c r="M46" i="38"/>
  <c r="M45" i="38"/>
  <c r="M44" i="38"/>
  <c r="M40" i="38"/>
  <c r="M39" i="38"/>
  <c r="M38" i="38"/>
  <c r="G48" i="38"/>
  <c r="G47" i="38"/>
  <c r="G46" i="38"/>
  <c r="G45" i="38"/>
  <c r="G44" i="38"/>
  <c r="G43" i="38"/>
  <c r="G42" i="38"/>
  <c r="G41" i="38"/>
  <c r="G40" i="38"/>
  <c r="G39" i="38"/>
  <c r="G38" i="38"/>
  <c r="Q38" i="38" s="1"/>
  <c r="J38" i="38" l="1"/>
  <c r="AP17" i="51"/>
  <c r="AP16" i="51"/>
  <c r="AP25" i="51" l="1"/>
  <c r="T48" i="38" l="1"/>
  <c r="T47" i="38"/>
  <c r="T46" i="38"/>
  <c r="T45" i="38"/>
  <c r="T44" i="38"/>
  <c r="T43" i="38"/>
  <c r="T42" i="38"/>
  <c r="T41" i="38"/>
  <c r="T40" i="38"/>
  <c r="T39" i="38"/>
  <c r="T38" i="38"/>
  <c r="T37" i="38"/>
  <c r="T32" i="51" l="1"/>
  <c r="T31" i="51"/>
  <c r="T30" i="51" l="1"/>
  <c r="G56" i="51" l="1"/>
  <c r="I24" i="38"/>
  <c r="G57" i="51" l="1"/>
  <c r="J57" i="51" s="1"/>
  <c r="W57" i="51" s="1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I29" i="38" l="1"/>
  <c r="T30" i="38" s="1"/>
  <c r="T32" i="38" l="1"/>
  <c r="T31" i="38"/>
  <c r="G67" i="51"/>
  <c r="G47" i="51"/>
  <c r="G66" i="51" s="1"/>
  <c r="G46" i="51"/>
  <c r="G65" i="51" s="1"/>
  <c r="G45" i="51"/>
  <c r="G64" i="51" s="1"/>
  <c r="G44" i="51"/>
  <c r="G63" i="51" s="1"/>
  <c r="G43" i="51"/>
  <c r="G62" i="51" s="1"/>
  <c r="G42" i="51"/>
  <c r="G61" i="51" s="1"/>
  <c r="G41" i="51"/>
  <c r="G60" i="51" s="1"/>
  <c r="G40" i="51"/>
  <c r="G59" i="51" s="1"/>
  <c r="G39" i="51"/>
  <c r="G58" i="51" s="1"/>
  <c r="AQ17" i="51" l="1"/>
  <c r="J37" i="51" s="1"/>
  <c r="AQ16" i="51"/>
  <c r="J38" i="51" s="1"/>
  <c r="T67" i="51"/>
  <c r="T66" i="51"/>
  <c r="T65" i="51"/>
  <c r="T64" i="51"/>
  <c r="T63" i="51"/>
  <c r="T62" i="51"/>
  <c r="T61" i="51"/>
  <c r="T60" i="51"/>
  <c r="T59" i="51"/>
  <c r="T58" i="51"/>
  <c r="T57" i="51"/>
  <c r="T56" i="51"/>
  <c r="T49" i="51"/>
  <c r="AP48" i="51"/>
  <c r="AO48" i="51"/>
  <c r="AP47" i="51"/>
  <c r="AO47" i="51"/>
  <c r="AP46" i="51"/>
  <c r="AO46" i="51"/>
  <c r="AP45" i="51"/>
  <c r="AO45" i="51"/>
  <c r="AP44" i="51"/>
  <c r="AO44" i="51"/>
  <c r="AP43" i="51"/>
  <c r="AO43" i="51"/>
  <c r="AP42" i="51"/>
  <c r="AO42" i="51"/>
  <c r="AP41" i="51"/>
  <c r="AO41" i="51"/>
  <c r="AP40" i="51"/>
  <c r="AO40" i="51"/>
  <c r="AP39" i="51"/>
  <c r="AO39" i="51"/>
  <c r="AP38" i="51"/>
  <c r="AO38" i="51"/>
  <c r="AP37" i="51"/>
  <c r="AO37" i="51"/>
  <c r="AP31" i="51"/>
  <c r="AP30" i="51"/>
  <c r="AQ23" i="51"/>
  <c r="AP23" i="51"/>
  <c r="J41" i="51" l="1"/>
  <c r="J42" i="51"/>
  <c r="J43" i="51"/>
  <c r="J39" i="51"/>
  <c r="J40" i="51"/>
  <c r="J44" i="51"/>
  <c r="J45" i="51"/>
  <c r="J46" i="51"/>
  <c r="J47" i="51"/>
  <c r="J48" i="51"/>
  <c r="M37" i="38"/>
  <c r="AJ148" i="2"/>
  <c r="AJ144" i="2"/>
  <c r="AJ104" i="2"/>
  <c r="AJ130" i="2"/>
  <c r="AJ128" i="2"/>
  <c r="AJ138" i="2"/>
  <c r="AJ136" i="2"/>
  <c r="AJ126" i="2"/>
  <c r="AJ124" i="2"/>
  <c r="AJ134" i="2"/>
  <c r="AJ132" i="2"/>
  <c r="AJ142" i="2"/>
  <c r="AJ140" i="2"/>
  <c r="AQ37" i="51"/>
  <c r="AQ44" i="51"/>
  <c r="AQ46" i="51"/>
  <c r="AQ48" i="51"/>
  <c r="AQ45" i="51"/>
  <c r="AQ47" i="51"/>
  <c r="AQ43" i="51"/>
  <c r="AR43" i="51" s="1"/>
  <c r="AQ41" i="51"/>
  <c r="AR41" i="51" s="1"/>
  <c r="AQ38" i="51"/>
  <c r="AQ39" i="51"/>
  <c r="AR39" i="51" s="1"/>
  <c r="AQ42" i="51"/>
  <c r="AR42" i="51" s="1"/>
  <c r="AQ40" i="51"/>
  <c r="AR40" i="51" s="1"/>
  <c r="T68" i="51"/>
  <c r="G59" i="38"/>
  <c r="G62" i="38"/>
  <c r="G65" i="38"/>
  <c r="G57" i="38"/>
  <c r="G60" i="38"/>
  <c r="G63" i="38"/>
  <c r="G66" i="38"/>
  <c r="G58" i="38"/>
  <c r="G61" i="38"/>
  <c r="G64" i="38"/>
  <c r="G56" i="38"/>
  <c r="J56" i="38" s="1"/>
  <c r="W56" i="38" s="1"/>
  <c r="G55" i="38"/>
  <c r="AP32" i="51"/>
  <c r="AR44" i="51" l="1"/>
  <c r="AJ146" i="2"/>
  <c r="AJ106" i="2"/>
  <c r="AR46" i="51"/>
  <c r="AJ112" i="2"/>
  <c r="AJ108" i="2"/>
  <c r="AJ150" i="2"/>
  <c r="AJ116" i="2"/>
  <c r="AR48" i="51"/>
  <c r="AJ118" i="2"/>
  <c r="AR47" i="51"/>
  <c r="AJ114" i="2"/>
  <c r="AJ110" i="2"/>
  <c r="AR45" i="51"/>
  <c r="AR37" i="51"/>
  <c r="AJ127" i="2"/>
  <c r="AJ125" i="2"/>
  <c r="AJ131" i="2"/>
  <c r="AJ129" i="2"/>
  <c r="AJ135" i="2"/>
  <c r="AJ133" i="2"/>
  <c r="AJ139" i="2"/>
  <c r="AJ137" i="2"/>
  <c r="AJ143" i="2"/>
  <c r="AJ141" i="2"/>
  <c r="AJ119" i="2"/>
  <c r="AJ117" i="2"/>
  <c r="AJ122" i="2"/>
  <c r="AJ120" i="2"/>
  <c r="AJ115" i="2"/>
  <c r="AJ113" i="2"/>
  <c r="AJ111" i="2"/>
  <c r="AJ109" i="2"/>
  <c r="AR38" i="51"/>
  <c r="AR49" i="51"/>
  <c r="AJ151" i="2" l="1"/>
  <c r="AJ145" i="2"/>
  <c r="AJ107" i="2"/>
  <c r="AJ147" i="2"/>
  <c r="AJ149" i="2"/>
  <c r="B50" i="51"/>
  <c r="B50" i="38" s="1"/>
  <c r="AJ105" i="2"/>
  <c r="AJ123" i="2"/>
  <c r="AJ121" i="2"/>
  <c r="W68" i="51"/>
  <c r="AV30" i="38"/>
  <c r="AR48" i="38" l="1"/>
  <c r="AQ48" i="38"/>
  <c r="T55" i="38"/>
  <c r="T49" i="38"/>
  <c r="AQ37" i="38"/>
  <c r="AO103" i="2" l="1"/>
  <c r="AO102" i="2"/>
  <c r="AO101" i="2"/>
  <c r="AO100" i="2"/>
  <c r="AO95" i="2"/>
  <c r="AO94" i="2"/>
  <c r="AO93" i="2"/>
  <c r="AO92" i="2"/>
  <c r="AO87" i="2"/>
  <c r="AO86" i="2"/>
  <c r="AO85" i="2"/>
  <c r="AO84" i="2"/>
  <c r="AO79" i="2"/>
  <c r="AO78" i="2"/>
  <c r="AO77" i="2"/>
  <c r="AO76" i="2"/>
  <c r="AO71" i="2"/>
  <c r="AO70" i="2"/>
  <c r="AO69" i="2"/>
  <c r="AO68" i="2"/>
  <c r="AO63" i="2"/>
  <c r="AO62" i="2"/>
  <c r="AO61" i="2"/>
  <c r="AO60" i="2"/>
  <c r="AO55" i="2"/>
  <c r="AO54" i="2"/>
  <c r="AO53" i="2"/>
  <c r="AO52" i="2"/>
  <c r="AO47" i="2"/>
  <c r="AO46" i="2"/>
  <c r="AO45" i="2"/>
  <c r="AO44" i="2"/>
  <c r="AO39" i="2"/>
  <c r="AO38" i="2"/>
  <c r="AO37" i="2"/>
  <c r="AO36" i="2"/>
  <c r="AO31" i="2"/>
  <c r="AO30" i="2"/>
  <c r="AO29" i="2"/>
  <c r="AO28" i="2"/>
  <c r="AO23" i="2"/>
  <c r="AO22" i="2"/>
  <c r="AO21" i="2"/>
  <c r="AO20" i="2"/>
  <c r="AO15" i="2"/>
  <c r="AO14" i="2"/>
  <c r="AO13" i="2"/>
  <c r="AO12" i="2"/>
  <c r="AR20" i="38" l="1"/>
  <c r="AQ20" i="38"/>
  <c r="R33" i="2" l="1"/>
  <c r="R32" i="2"/>
  <c r="R31" i="2"/>
  <c r="R15" i="2"/>
  <c r="R14" i="2"/>
  <c r="R13" i="2"/>
  <c r="R36" i="2"/>
  <c r="R35" i="2"/>
  <c r="R34" i="2"/>
  <c r="R18" i="2"/>
  <c r="R17" i="2"/>
  <c r="R16" i="2"/>
  <c r="AR30" i="38" l="1"/>
  <c r="AT30" i="38" s="1"/>
  <c r="R28" i="2" l="1"/>
  <c r="R29" i="2"/>
  <c r="R30" i="2"/>
  <c r="R37" i="2"/>
  <c r="R38" i="2"/>
  <c r="R39" i="2"/>
  <c r="R27" i="2"/>
  <c r="R26" i="2"/>
  <c r="R25" i="2"/>
  <c r="R24" i="2"/>
  <c r="R23" i="2"/>
  <c r="R22" i="2"/>
  <c r="R12" i="2"/>
  <c r="R11" i="2"/>
  <c r="R10" i="2"/>
  <c r="R9" i="2"/>
  <c r="R8" i="2"/>
  <c r="R7" i="2"/>
  <c r="AP18" i="51" l="1"/>
  <c r="T56" i="38" l="1"/>
  <c r="T57" i="38"/>
  <c r="T58" i="38"/>
  <c r="T59" i="38"/>
  <c r="T60" i="38"/>
  <c r="T61" i="38"/>
  <c r="T62" i="38"/>
  <c r="T63" i="38"/>
  <c r="T64" i="38"/>
  <c r="T65" i="38"/>
  <c r="T66" i="38"/>
  <c r="AR47" i="38"/>
  <c r="AQ47" i="38"/>
  <c r="AR46" i="38"/>
  <c r="AQ46" i="38"/>
  <c r="AR45" i="38"/>
  <c r="AQ45" i="38"/>
  <c r="AR44" i="38"/>
  <c r="AQ44" i="38"/>
  <c r="AR43" i="38"/>
  <c r="AQ43" i="38"/>
  <c r="AR42" i="38"/>
  <c r="AQ42" i="38"/>
  <c r="AR41" i="38"/>
  <c r="AQ41" i="38"/>
  <c r="AR40" i="38"/>
  <c r="AQ40" i="38"/>
  <c r="AR39" i="38"/>
  <c r="AQ39" i="38"/>
  <c r="AR38" i="38"/>
  <c r="AQ38" i="38"/>
  <c r="AR37" i="38"/>
  <c r="T67" i="38" l="1"/>
  <c r="W67" i="38" l="1"/>
  <c r="AI32" i="2" l="1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28" i="2"/>
  <c r="AI29" i="2"/>
  <c r="AI30" i="2"/>
  <c r="AI31" i="2"/>
  <c r="AI20" i="2"/>
  <c r="AI21" i="2"/>
  <c r="AI22" i="2"/>
  <c r="AI23" i="2"/>
  <c r="AI15" i="2"/>
  <c r="AI14" i="2"/>
  <c r="AI13" i="2"/>
  <c r="AI12" i="2"/>
  <c r="R21" i="2"/>
  <c r="R20" i="2"/>
  <c r="AP72" i="2" l="1"/>
  <c r="AP8" i="2"/>
  <c r="AP64" i="2"/>
  <c r="AP96" i="2"/>
  <c r="AP32" i="2"/>
  <c r="AP56" i="2"/>
  <c r="AP88" i="2"/>
  <c r="AP24" i="2"/>
  <c r="AP80" i="2"/>
  <c r="AP48" i="2"/>
  <c r="AP16" i="2"/>
  <c r="AP40" i="2"/>
  <c r="AP35" i="2"/>
  <c r="AP43" i="2"/>
  <c r="AP51" i="2"/>
  <c r="AP59" i="2"/>
  <c r="AP67" i="2"/>
  <c r="AP75" i="2"/>
  <c r="AP83" i="2"/>
  <c r="AP91" i="2"/>
  <c r="AP99" i="2"/>
  <c r="AP34" i="2"/>
  <c r="AP42" i="2"/>
  <c r="AP50" i="2"/>
  <c r="AP58" i="2"/>
  <c r="AP66" i="2"/>
  <c r="AP74" i="2"/>
  <c r="AP82" i="2"/>
  <c r="AP90" i="2"/>
  <c r="AP98" i="2"/>
  <c r="AP33" i="2"/>
  <c r="AP41" i="2"/>
  <c r="AP49" i="2"/>
  <c r="AP57" i="2"/>
  <c r="AP65" i="2"/>
  <c r="AP73" i="2"/>
  <c r="AP81" i="2"/>
  <c r="AP89" i="2"/>
  <c r="AP97" i="2"/>
  <c r="AP11" i="2"/>
  <c r="AP19" i="2"/>
  <c r="AP27" i="2"/>
  <c r="AP10" i="2"/>
  <c r="AP18" i="2"/>
  <c r="AP26" i="2"/>
  <c r="AP9" i="2"/>
  <c r="AP17" i="2"/>
  <c r="AP25" i="2"/>
  <c r="AP12" i="2" l="1"/>
  <c r="AP92" i="2"/>
  <c r="AP60" i="2"/>
  <c r="AP31" i="2"/>
  <c r="AP30" i="2"/>
  <c r="AP29" i="2"/>
  <c r="AP95" i="2"/>
  <c r="AP79" i="2"/>
  <c r="AP63" i="2"/>
  <c r="AP47" i="2"/>
  <c r="AP15" i="2"/>
  <c r="AP52" i="2"/>
  <c r="AP77" i="2"/>
  <c r="AP61" i="2"/>
  <c r="AP94" i="2"/>
  <c r="AP62" i="2"/>
  <c r="AP46" i="2"/>
  <c r="AP84" i="2"/>
  <c r="AP21" i="2"/>
  <c r="AP22" i="2"/>
  <c r="AP103" i="2"/>
  <c r="AP87" i="2"/>
  <c r="AP71" i="2"/>
  <c r="AP55" i="2"/>
  <c r="AP39" i="2"/>
  <c r="AP20" i="2"/>
  <c r="AP93" i="2"/>
  <c r="AP45" i="2"/>
  <c r="AP78" i="2"/>
  <c r="AP13" i="2"/>
  <c r="AP23" i="2"/>
  <c r="AP76" i="2"/>
  <c r="AP44" i="2"/>
  <c r="AP14" i="2"/>
  <c r="AP100" i="2"/>
  <c r="AP68" i="2"/>
  <c r="AP36" i="2"/>
  <c r="AP101" i="2"/>
  <c r="AP85" i="2"/>
  <c r="AP69" i="2"/>
  <c r="AP53" i="2"/>
  <c r="AP37" i="2"/>
  <c r="AP102" i="2"/>
  <c r="AP86" i="2"/>
  <c r="AP70" i="2"/>
  <c r="AP54" i="2"/>
  <c r="AP38" i="2"/>
  <c r="AP28" i="2"/>
  <c r="R19" i="2"/>
  <c r="AQ18" i="51" l="1"/>
  <c r="AI24" i="2" l="1"/>
  <c r="AI25" i="2"/>
  <c r="AI26" i="2"/>
  <c r="AI27" i="2"/>
  <c r="AI8" i="2"/>
  <c r="AI9" i="2"/>
  <c r="AI10" i="2"/>
  <c r="AI11" i="2"/>
  <c r="AI16" i="2"/>
  <c r="AI17" i="2"/>
  <c r="AI18" i="2"/>
  <c r="AI19" i="2"/>
  <c r="AS48" i="51" l="1"/>
  <c r="AS47" i="51"/>
  <c r="AS41" i="51"/>
  <c r="AS39" i="51"/>
  <c r="AB39" i="51" l="1"/>
  <c r="W39" i="51"/>
  <c r="AB41" i="51"/>
  <c r="W41" i="51"/>
  <c r="AB47" i="51"/>
  <c r="W47" i="51"/>
  <c r="AB48" i="51"/>
  <c r="W48" i="51"/>
  <c r="AS45" i="51"/>
  <c r="AS38" i="51"/>
  <c r="AS44" i="51"/>
  <c r="AS42" i="51"/>
  <c r="AS40" i="51"/>
  <c r="AS46" i="51"/>
  <c r="AS43" i="51"/>
  <c r="AT40" i="38"/>
  <c r="AT43" i="38"/>
  <c r="AT38" i="38"/>
  <c r="AT39" i="38"/>
  <c r="AT45" i="38"/>
  <c r="AT48" i="38"/>
  <c r="AT42" i="38"/>
  <c r="AT41" i="38"/>
  <c r="AT44" i="38"/>
  <c r="AT47" i="38"/>
  <c r="AT46" i="38"/>
  <c r="AB39" i="38" l="1"/>
  <c r="W39" i="38"/>
  <c r="AB40" i="38"/>
  <c r="W40" i="38"/>
  <c r="W42" i="38"/>
  <c r="AB42" i="38"/>
  <c r="AB45" i="38"/>
  <c r="W45" i="38"/>
  <c r="AB46" i="38"/>
  <c r="W46" i="38"/>
  <c r="AB38" i="38"/>
  <c r="W38" i="38"/>
  <c r="W44" i="38"/>
  <c r="AB44" i="38"/>
  <c r="W41" i="38"/>
  <c r="AB41" i="38"/>
  <c r="AB48" i="38"/>
  <c r="W48" i="38"/>
  <c r="AB47" i="38"/>
  <c r="W47" i="38"/>
  <c r="W43" i="38"/>
  <c r="AB43" i="38"/>
  <c r="AB40" i="51"/>
  <c r="W40" i="51"/>
  <c r="W42" i="51"/>
  <c r="AB42" i="51"/>
  <c r="AB46" i="51"/>
  <c r="W46" i="51"/>
  <c r="W44" i="51"/>
  <c r="AB44" i="51"/>
  <c r="AB38" i="51"/>
  <c r="W38" i="51"/>
  <c r="W43" i="51"/>
  <c r="AB43" i="51"/>
  <c r="AB45" i="51"/>
  <c r="W45" i="51"/>
  <c r="AP120" i="2"/>
  <c r="AP121" i="2"/>
  <c r="AP123" i="2" l="1"/>
  <c r="AO123" i="2"/>
  <c r="AP122" i="2"/>
  <c r="AO122" i="2"/>
  <c r="AP133" i="2" l="1"/>
  <c r="AP132" i="2"/>
  <c r="AP124" i="2"/>
  <c r="AP125" i="2"/>
  <c r="AP140" i="2"/>
  <c r="AP141" i="2"/>
  <c r="AP129" i="2"/>
  <c r="AO130" i="2"/>
  <c r="AP130" i="2" s="1"/>
  <c r="AP128" i="2"/>
  <c r="AP136" i="2"/>
  <c r="AP137" i="2"/>
  <c r="AP113" i="2"/>
  <c r="AP112" i="2"/>
  <c r="AP117" i="2"/>
  <c r="AP116" i="2"/>
  <c r="AP149" i="2" l="1"/>
  <c r="AP148" i="2"/>
  <c r="AO119" i="2"/>
  <c r="AP119" i="2" s="1"/>
  <c r="AT37" i="38" s="1"/>
  <c r="AO139" i="2"/>
  <c r="AP139" i="2" s="1"/>
  <c r="AO134" i="2"/>
  <c r="AP134" i="2" s="1"/>
  <c r="AP104" i="2"/>
  <c r="AO107" i="2"/>
  <c r="AP107" i="2" s="1"/>
  <c r="AP105" i="2"/>
  <c r="AP115" i="2"/>
  <c r="AO115" i="2"/>
  <c r="AP142" i="2"/>
  <c r="AO142" i="2"/>
  <c r="AP127" i="2"/>
  <c r="AO127" i="2"/>
  <c r="AO135" i="2"/>
  <c r="AP135" i="2" s="1"/>
  <c r="AP144" i="2"/>
  <c r="AP145" i="2"/>
  <c r="AO138" i="2"/>
  <c r="AP138" i="2" s="1"/>
  <c r="AP143" i="2"/>
  <c r="AO143" i="2"/>
  <c r="AP126" i="2"/>
  <c r="AO126" i="2"/>
  <c r="AP108" i="2"/>
  <c r="AP109" i="2"/>
  <c r="AO118" i="2"/>
  <c r="AP118" i="2" s="1"/>
  <c r="AO114" i="2"/>
  <c r="AP114" i="2" s="1"/>
  <c r="AO131" i="2"/>
  <c r="AP131" i="2" s="1"/>
  <c r="AB37" i="38" l="1"/>
  <c r="AB49" i="38" s="1"/>
  <c r="W37" i="38"/>
  <c r="W49" i="38" s="1"/>
  <c r="AS37" i="51"/>
  <c r="AO110" i="2"/>
  <c r="AP110" i="2" s="1"/>
  <c r="AO151" i="2"/>
  <c r="AP151" i="2"/>
  <c r="AP147" i="2"/>
  <c r="AO147" i="2"/>
  <c r="AO150" i="2"/>
  <c r="AP150" i="2"/>
  <c r="AO111" i="2"/>
  <c r="AP111" i="2" s="1"/>
  <c r="AP146" i="2"/>
  <c r="AO146" i="2"/>
  <c r="AO106" i="2"/>
  <c r="AP106" i="2" s="1"/>
  <c r="AB37" i="51" l="1"/>
  <c r="AB49" i="51" s="1"/>
  <c r="W37" i="51"/>
  <c r="W49" i="51" s="1"/>
</calcChain>
</file>

<file path=xl/sharedStrings.xml><?xml version="1.0" encoding="utf-8"?>
<sst xmlns="http://schemas.openxmlformats.org/spreadsheetml/2006/main" count="967" uniqueCount="263">
  <si>
    <t>冷房</t>
    <rPh sb="0" eb="2">
      <t>レイボウ</t>
    </rPh>
    <phoneticPr fontId="1"/>
  </si>
  <si>
    <t>暖房</t>
    <rPh sb="0" eb="2">
      <t>ダンボウ</t>
    </rPh>
    <phoneticPr fontId="1"/>
  </si>
  <si>
    <t>◆建物用途</t>
    <rPh sb="1" eb="3">
      <t>タテモノ</t>
    </rPh>
    <rPh sb="3" eb="5">
      <t>ヨウト</t>
    </rPh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</si>
  <si>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</si>
  <si>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</si>
  <si>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店舗</t>
    <rPh sb="0" eb="2">
      <t>テンポ</t>
    </rPh>
    <phoneticPr fontId="2"/>
  </si>
  <si>
    <t>事務所</t>
    <rPh sb="0" eb="2">
      <t>ジム</t>
    </rPh>
    <rPh sb="2" eb="3">
      <t>ショ</t>
    </rPh>
    <phoneticPr fontId="2"/>
  </si>
  <si>
    <t>建物用途</t>
    <rPh sb="0" eb="2">
      <t>タテモノ</t>
    </rPh>
    <rPh sb="2" eb="4">
      <t>ヨウト</t>
    </rPh>
    <phoneticPr fontId="2"/>
  </si>
  <si>
    <t>冷房</t>
    <rPh sb="0" eb="2">
      <t>レイボウ</t>
    </rPh>
    <phoneticPr fontId="1"/>
  </si>
  <si>
    <t>暖房</t>
    <rPh sb="0" eb="2">
      <t>ダンボウ</t>
    </rPh>
    <phoneticPr fontId="1"/>
  </si>
  <si>
    <t>平均負荷率</t>
    <rPh sb="0" eb="2">
      <t>ヘイキン</t>
    </rPh>
    <rPh sb="2" eb="4">
      <t>フカ</t>
    </rPh>
    <rPh sb="4" eb="5">
      <t>リツ</t>
    </rPh>
    <phoneticPr fontId="2"/>
  </si>
  <si>
    <t>◆燃料種別</t>
    <rPh sb="1" eb="3">
      <t>ネンリョウ</t>
    </rPh>
    <rPh sb="3" eb="5">
      <t>シュベツ</t>
    </rPh>
    <phoneticPr fontId="1"/>
  </si>
  <si>
    <t>月</t>
    <rPh sb="0" eb="1">
      <t>ツキ</t>
    </rPh>
    <phoneticPr fontId="1"/>
  </si>
  <si>
    <t>運転種別</t>
    <rPh sb="0" eb="2">
      <t>ウンテン</t>
    </rPh>
    <rPh sb="2" eb="4">
      <t>シュベツ</t>
    </rPh>
    <phoneticPr fontId="1"/>
  </si>
  <si>
    <t>月</t>
    <rPh sb="0" eb="1">
      <t>ツキ</t>
    </rPh>
    <phoneticPr fontId="1"/>
  </si>
  <si>
    <t>検索用</t>
    <rPh sb="0" eb="3">
      <t>ケンサクヨウ</t>
    </rPh>
    <phoneticPr fontId="1"/>
  </si>
  <si>
    <t>1店舗</t>
  </si>
  <si>
    <t>2店舗</t>
  </si>
  <si>
    <t>2事務所</t>
  </si>
  <si>
    <t>3店舗</t>
  </si>
  <si>
    <t>3事務所</t>
  </si>
  <si>
    <t>4店舗</t>
  </si>
  <si>
    <t>4事務所</t>
  </si>
  <si>
    <t>5店舗</t>
  </si>
  <si>
    <t>5事務所</t>
  </si>
  <si>
    <t>6店舗</t>
  </si>
  <si>
    <t>6事務所</t>
  </si>
  <si>
    <t>7店舗</t>
  </si>
  <si>
    <t>7事務所</t>
  </si>
  <si>
    <t>8店舗</t>
  </si>
  <si>
    <t>8事務所</t>
  </si>
  <si>
    <t>9店舗</t>
  </si>
  <si>
    <t>9事務所</t>
  </si>
  <si>
    <t>10店舗</t>
  </si>
  <si>
    <t>10事務所</t>
  </si>
  <si>
    <t>11店舗</t>
  </si>
  <si>
    <t>11事務所</t>
  </si>
  <si>
    <t>12店舗</t>
  </si>
  <si>
    <t>12事務所</t>
  </si>
  <si>
    <t>1事務所</t>
    <phoneticPr fontId="1"/>
  </si>
  <si>
    <t>負荷率</t>
    <rPh sb="0" eb="2">
      <t>フカ</t>
    </rPh>
    <rPh sb="2" eb="3">
      <t>リツ</t>
    </rPh>
    <phoneticPr fontId="1"/>
  </si>
  <si>
    <t>負荷率50%以上</t>
    <rPh sb="0" eb="2">
      <t>フカ</t>
    </rPh>
    <rPh sb="2" eb="3">
      <t>リツ</t>
    </rPh>
    <rPh sb="6" eb="8">
      <t>イジョウ</t>
    </rPh>
    <phoneticPr fontId="1"/>
  </si>
  <si>
    <t>傾き</t>
    <rPh sb="0" eb="1">
      <t>カタム</t>
    </rPh>
    <phoneticPr fontId="1"/>
  </si>
  <si>
    <t>切片</t>
    <rPh sb="0" eb="2">
      <t>セッペン</t>
    </rPh>
    <phoneticPr fontId="1"/>
  </si>
  <si>
    <t>負荷率30％未満</t>
    <rPh sb="0" eb="2">
      <t>フカ</t>
    </rPh>
    <rPh sb="2" eb="3">
      <t>リツ</t>
    </rPh>
    <rPh sb="6" eb="8">
      <t>ミマン</t>
    </rPh>
    <phoneticPr fontId="1"/>
  </si>
  <si>
    <t>冷房/暖房</t>
    <rPh sb="0" eb="2">
      <t>レイボウ</t>
    </rPh>
    <rPh sb="3" eb="5">
      <t>ダンボウ</t>
    </rPh>
    <phoneticPr fontId="1"/>
  </si>
  <si>
    <t>暖房</t>
    <rPh sb="0" eb="2">
      <t>ダンボウ</t>
    </rPh>
    <phoneticPr fontId="1"/>
  </si>
  <si>
    <t>吸収式冷凍機　計算マスタ</t>
    <rPh sb="0" eb="2">
      <t>キュウシュウ</t>
    </rPh>
    <rPh sb="2" eb="3">
      <t>シキ</t>
    </rPh>
    <rPh sb="3" eb="6">
      <t>レイトウキ</t>
    </rPh>
    <rPh sb="7" eb="9">
      <t>ケイサン</t>
    </rPh>
    <phoneticPr fontId="1"/>
  </si>
  <si>
    <t>負荷率30以上50％未満</t>
    <rPh sb="0" eb="2">
      <t>フカ</t>
    </rPh>
    <rPh sb="2" eb="3">
      <t>リツ</t>
    </rPh>
    <rPh sb="5" eb="7">
      <t>イジョウ</t>
    </rPh>
    <rPh sb="10" eb="12">
      <t>ミマン</t>
    </rPh>
    <phoneticPr fontId="1"/>
  </si>
  <si>
    <t>■設備情報</t>
    <rPh sb="1" eb="3">
      <t>セツビ</t>
    </rPh>
    <rPh sb="3" eb="5">
      <t>ジョウホウ</t>
    </rPh>
    <phoneticPr fontId="6"/>
  </si>
  <si>
    <t>○○株式会社</t>
    <phoneticPr fontId="1"/>
  </si>
  <si>
    <t>製品名</t>
    <rPh sb="0" eb="3">
      <t>セイヒンメイ</t>
    </rPh>
    <phoneticPr fontId="6"/>
  </si>
  <si>
    <t>kW</t>
  </si>
  <si>
    <t>建物用途</t>
    <rPh sb="0" eb="2">
      <t>タテモノ</t>
    </rPh>
    <rPh sb="2" eb="4">
      <t>ヨウト</t>
    </rPh>
    <phoneticPr fontId="6"/>
  </si>
  <si>
    <t>13A（12A含む）</t>
    <rPh sb="7" eb="8">
      <t>フク</t>
    </rPh>
    <phoneticPr fontId="1"/>
  </si>
  <si>
    <t>月</t>
    <rPh sb="0" eb="1">
      <t>ツキ</t>
    </rPh>
    <phoneticPr fontId="6"/>
  </si>
  <si>
    <t>エネルギー
使用量</t>
    <rPh sb="6" eb="8">
      <t>シヨウ</t>
    </rPh>
    <rPh sb="8" eb="9">
      <t>リョウ</t>
    </rPh>
    <phoneticPr fontId="6"/>
  </si>
  <si>
    <t>合計</t>
    <rPh sb="0" eb="2">
      <t>ゴウケイ</t>
    </rPh>
    <phoneticPr fontId="6"/>
  </si>
  <si>
    <t>古い吸収冷温水機</t>
    <rPh sb="0" eb="1">
      <t>フル</t>
    </rPh>
    <rPh sb="2" eb="4">
      <t>キュウシュウ</t>
    </rPh>
    <rPh sb="4" eb="7">
      <t>レイオンスイ</t>
    </rPh>
    <rPh sb="7" eb="8">
      <t>キ</t>
    </rPh>
    <phoneticPr fontId="1"/>
  </si>
  <si>
    <t>区分</t>
    <rPh sb="0" eb="2">
      <t>クブン</t>
    </rPh>
    <phoneticPr fontId="1"/>
  </si>
  <si>
    <t>計算COP</t>
    <rPh sb="0" eb="2">
      <t>ケイサン</t>
    </rPh>
    <phoneticPr fontId="1"/>
  </si>
  <si>
    <t>冷房</t>
    <rPh sb="0" eb="2">
      <t>レイボウ</t>
    </rPh>
    <phoneticPr fontId="1"/>
  </si>
  <si>
    <t>吸収冷凍機</t>
    <rPh sb="0" eb="2">
      <t>キュウシュウ</t>
    </rPh>
    <rPh sb="2" eb="5">
      <t>レイトウキ</t>
    </rPh>
    <phoneticPr fontId="1"/>
  </si>
  <si>
    <t>製造年代区分</t>
    <rPh sb="0" eb="2">
      <t>セイゾウ</t>
    </rPh>
    <rPh sb="2" eb="4">
      <t>ネンダイ</t>
    </rPh>
    <rPh sb="4" eb="6">
      <t>クブン</t>
    </rPh>
    <phoneticPr fontId="1"/>
  </si>
  <si>
    <t>製造年</t>
    <rPh sb="0" eb="2">
      <t>セイゾウ</t>
    </rPh>
    <rPh sb="2" eb="3">
      <t>ネン</t>
    </rPh>
    <phoneticPr fontId="1"/>
  </si>
  <si>
    <t>◆製造年分</t>
    <rPh sb="1" eb="3">
      <t>セイゾウ</t>
    </rPh>
    <rPh sb="3" eb="4">
      <t>ネン</t>
    </rPh>
    <rPh sb="4" eb="5">
      <t>ブン</t>
    </rPh>
    <phoneticPr fontId="1"/>
  </si>
  <si>
    <t>冷暖房</t>
    <rPh sb="0" eb="3">
      <t>レイダンボウ</t>
    </rPh>
    <phoneticPr fontId="1"/>
  </si>
  <si>
    <t>検索用</t>
    <rPh sb="0" eb="3">
      <t>ケンサクヨウ</t>
    </rPh>
    <phoneticPr fontId="1"/>
  </si>
  <si>
    <t>代表発熱量</t>
    <rPh sb="0" eb="2">
      <t>ダイヒョウ</t>
    </rPh>
    <rPh sb="2" eb="4">
      <t>ハツネツ</t>
    </rPh>
    <rPh sb="4" eb="5">
      <t>リョウ</t>
    </rPh>
    <phoneticPr fontId="1"/>
  </si>
  <si>
    <t>プロパン（い号）</t>
    <rPh sb="6" eb="7">
      <t>ゴウ</t>
    </rPh>
    <phoneticPr fontId="1"/>
  </si>
  <si>
    <t>13A（ろ号プロパン）</t>
    <rPh sb="5" eb="6">
      <t>ゴウ</t>
    </rPh>
    <phoneticPr fontId="1"/>
  </si>
  <si>
    <t>低カロリー</t>
    <rPh sb="0" eb="1">
      <t>テイ</t>
    </rPh>
    <phoneticPr fontId="1"/>
  </si>
  <si>
    <t>A重油</t>
    <rPh sb="1" eb="3">
      <t>ジュウユ</t>
    </rPh>
    <phoneticPr fontId="1"/>
  </si>
  <si>
    <t>灯油</t>
    <rPh sb="0" eb="2">
      <t>トウユ</t>
    </rPh>
    <phoneticPr fontId="1"/>
  </si>
  <si>
    <t>単位</t>
    <rPh sb="0" eb="2">
      <t>タンイ</t>
    </rPh>
    <phoneticPr fontId="1"/>
  </si>
  <si>
    <t>定格燃料
使用量</t>
    <rPh sb="0" eb="2">
      <t>テイカク</t>
    </rPh>
    <rPh sb="2" eb="4">
      <t>ネンリョウ</t>
    </rPh>
    <rPh sb="5" eb="8">
      <t>シヨウリョウ</t>
    </rPh>
    <phoneticPr fontId="1"/>
  </si>
  <si>
    <t>ガス</t>
    <phoneticPr fontId="1"/>
  </si>
  <si>
    <t>油</t>
    <rPh sb="0" eb="1">
      <t>アブラ</t>
    </rPh>
    <phoneticPr fontId="1"/>
  </si>
  <si>
    <t>冷房負荷率</t>
    <rPh sb="0" eb="2">
      <t>レイボウ</t>
    </rPh>
    <rPh sb="2" eb="4">
      <t>フカ</t>
    </rPh>
    <rPh sb="4" eb="5">
      <t>リツ</t>
    </rPh>
    <phoneticPr fontId="1"/>
  </si>
  <si>
    <t>暖房負荷率</t>
    <rPh sb="0" eb="2">
      <t>ダンボウ</t>
    </rPh>
    <rPh sb="2" eb="4">
      <t>フカ</t>
    </rPh>
    <rPh sb="4" eb="5">
      <t>リツ</t>
    </rPh>
    <phoneticPr fontId="1"/>
  </si>
  <si>
    <t>kcal/kg</t>
    <phoneticPr fontId="1"/>
  </si>
  <si>
    <t>COP比</t>
    <rPh sb="3" eb="4">
      <t>ヒ</t>
    </rPh>
    <phoneticPr fontId="1"/>
  </si>
  <si>
    <t>ks-old 1</t>
    <phoneticPr fontId="1"/>
  </si>
  <si>
    <t>kW</t>
    <phoneticPr fontId="1"/>
  </si>
  <si>
    <t>kW</t>
    <phoneticPr fontId="1"/>
  </si>
  <si>
    <t>kg/h</t>
    <phoneticPr fontId="1"/>
  </si>
  <si>
    <t>蒸気</t>
    <rPh sb="0" eb="2">
      <t>ジョウキ</t>
    </rPh>
    <phoneticPr fontId="1"/>
  </si>
  <si>
    <t>冷却水流量</t>
    <rPh sb="0" eb="3">
      <t>レイキャクスイ</t>
    </rPh>
    <rPh sb="3" eb="5">
      <t>リュウリョウ</t>
    </rPh>
    <phoneticPr fontId="1"/>
  </si>
  <si>
    <t>-</t>
    <phoneticPr fontId="1"/>
  </si>
  <si>
    <t>s-ks-new 1</t>
    <phoneticPr fontId="1"/>
  </si>
  <si>
    <t>新しい節電型吸収冷温水機</t>
    <rPh sb="0" eb="1">
      <t>アタラ</t>
    </rPh>
    <rPh sb="3" eb="6">
      <t>セツデンガタ</t>
    </rPh>
    <rPh sb="6" eb="8">
      <t>キュウシュウ</t>
    </rPh>
    <rPh sb="8" eb="11">
      <t>レイオンスイ</t>
    </rPh>
    <rPh sb="11" eb="12">
      <t>キ</t>
    </rPh>
    <phoneticPr fontId="1"/>
  </si>
  <si>
    <t>電力</t>
    <rPh sb="0" eb="2">
      <t>デンリョク</t>
    </rPh>
    <phoneticPr fontId="1"/>
  </si>
  <si>
    <t>kPa</t>
    <phoneticPr fontId="1"/>
  </si>
  <si>
    <t>冷却水ポンプ消費電力</t>
    <rPh sb="0" eb="3">
      <t>レイキャクスイ</t>
    </rPh>
    <rPh sb="6" eb="8">
      <t>ショウヒ</t>
    </rPh>
    <rPh sb="8" eb="10">
      <t>デンリョク</t>
    </rPh>
    <phoneticPr fontId="1"/>
  </si>
  <si>
    <t>単位</t>
    <rPh sb="0" eb="2">
      <t>タンイ</t>
    </rPh>
    <phoneticPr fontId="1"/>
  </si>
  <si>
    <t>kg</t>
    <phoneticPr fontId="1"/>
  </si>
  <si>
    <t>比重</t>
    <rPh sb="0" eb="2">
      <t>ヒジュウ</t>
    </rPh>
    <phoneticPr fontId="1"/>
  </si>
  <si>
    <t>◆年間平均負荷率</t>
    <rPh sb="1" eb="3">
      <t>ネンカン</t>
    </rPh>
    <rPh sb="3" eb="5">
      <t>ヘイキン</t>
    </rPh>
    <rPh sb="5" eb="7">
      <t>フカ</t>
    </rPh>
    <rPh sb="7" eb="8">
      <t>リツ</t>
    </rPh>
    <phoneticPr fontId="1"/>
  </si>
  <si>
    <t>◆中間COPテーブル</t>
    <rPh sb="1" eb="3">
      <t>チュウカン</t>
    </rPh>
    <phoneticPr fontId="1"/>
  </si>
  <si>
    <t>冷却水
ポンプ</t>
    <rPh sb="0" eb="3">
      <t>レイキャクスイ</t>
    </rPh>
    <phoneticPr fontId="1"/>
  </si>
  <si>
    <t>◆機器種別</t>
    <rPh sb="1" eb="3">
      <t>キキ</t>
    </rPh>
    <rPh sb="3" eb="5">
      <t>シュベツ</t>
    </rPh>
    <phoneticPr fontId="1"/>
  </si>
  <si>
    <t>ジェネリンク(蒸気)</t>
  </si>
  <si>
    <t>節電型ジェネリンク</t>
    <rPh sb="0" eb="3">
      <t>セツデンガタ</t>
    </rPh>
    <phoneticPr fontId="1"/>
  </si>
  <si>
    <t>吸収冷凍機</t>
    <phoneticPr fontId="1"/>
  </si>
  <si>
    <t>ジェネリンク(蒸気)</t>
    <phoneticPr fontId="1"/>
  </si>
  <si>
    <t>該当</t>
  </si>
  <si>
    <t>稼働時間</t>
    <rPh sb="0" eb="2">
      <t>カドウ</t>
    </rPh>
    <rPh sb="2" eb="4">
      <t>ジカン</t>
    </rPh>
    <phoneticPr fontId="1"/>
  </si>
  <si>
    <t>h</t>
    <phoneticPr fontId="1"/>
  </si>
  <si>
    <t>(kW)</t>
    <phoneticPr fontId="1"/>
  </si>
  <si>
    <t>エネルギー
使用量</t>
    <rPh sb="6" eb="8">
      <t>シヨウ</t>
    </rPh>
    <rPh sb="8" eb="9">
      <t>リョウ</t>
    </rPh>
    <phoneticPr fontId="1"/>
  </si>
  <si>
    <t>%</t>
    <phoneticPr fontId="1"/>
  </si>
  <si>
    <t>(kWh)</t>
  </si>
  <si>
    <t>kWh</t>
  </si>
  <si>
    <t>■基本情報</t>
    <rPh sb="1" eb="3">
      <t>キホン</t>
    </rPh>
    <rPh sb="3" eb="5">
      <t>ジョウホウ</t>
    </rPh>
    <phoneticPr fontId="6"/>
  </si>
  <si>
    <t>既存/導入予定</t>
    <rPh sb="0" eb="2">
      <t>キゾン</t>
    </rPh>
    <rPh sb="3" eb="5">
      <t>ドウニュウ</t>
    </rPh>
    <rPh sb="5" eb="7">
      <t>ヨテイ</t>
    </rPh>
    <phoneticPr fontId="6"/>
  </si>
  <si>
    <t>台数</t>
    <rPh sb="0" eb="2">
      <t>ダイスウ</t>
    </rPh>
    <phoneticPr fontId="6"/>
  </si>
  <si>
    <t>種別</t>
    <rPh sb="0" eb="2">
      <t>シュベツ</t>
    </rPh>
    <phoneticPr fontId="6"/>
  </si>
  <si>
    <t>既存設備</t>
    <phoneticPr fontId="1"/>
  </si>
  <si>
    <t>導入予定設備</t>
  </si>
  <si>
    <t>導入予定設備前/後</t>
    <rPh sb="6" eb="7">
      <t>マエ</t>
    </rPh>
    <rPh sb="8" eb="9">
      <t>ゴ</t>
    </rPh>
    <phoneticPr fontId="1"/>
  </si>
  <si>
    <t>導入予定設備</t>
    <phoneticPr fontId="1"/>
  </si>
  <si>
    <t>kcal/㎥</t>
  </si>
  <si>
    <t>平均
COP比</t>
    <phoneticPr fontId="6"/>
  </si>
  <si>
    <t>型番</t>
    <phoneticPr fontId="6"/>
  </si>
  <si>
    <t>設置年</t>
    <phoneticPr fontId="6"/>
  </si>
  <si>
    <t>インバータ制御</t>
    <rPh sb="5" eb="7">
      <t>セイギョ</t>
    </rPh>
    <phoneticPr fontId="1"/>
  </si>
  <si>
    <t>(h)</t>
    <phoneticPr fontId="1"/>
  </si>
  <si>
    <t>平均負荷率</t>
    <rPh sb="0" eb="2">
      <t>ヘイキン</t>
    </rPh>
    <phoneticPr fontId="1"/>
  </si>
  <si>
    <t>種別</t>
    <phoneticPr fontId="6"/>
  </si>
  <si>
    <t>(kWh)</t>
    <phoneticPr fontId="1"/>
  </si>
  <si>
    <t>(kW)</t>
    <phoneticPr fontId="1"/>
  </si>
  <si>
    <t>(h)</t>
    <phoneticPr fontId="1"/>
  </si>
  <si>
    <t>エネルギー使用量</t>
    <rPh sb="5" eb="7">
      <t>シヨウ</t>
    </rPh>
    <rPh sb="7" eb="8">
      <t>リョウ</t>
    </rPh>
    <phoneticPr fontId="6"/>
  </si>
  <si>
    <t>エネルギー使用量</t>
    <rPh sb="5" eb="7">
      <t>シヨウ</t>
    </rPh>
    <rPh sb="7" eb="8">
      <t>リョウ</t>
    </rPh>
    <phoneticPr fontId="1"/>
  </si>
  <si>
    <t>有り</t>
  </si>
  <si>
    <t>-</t>
    <phoneticPr fontId="1"/>
  </si>
  <si>
    <t>ジェネリンク(ガス)</t>
    <phoneticPr fontId="1"/>
  </si>
  <si>
    <t>ジェネリンク(油)</t>
    <rPh sb="7" eb="8">
      <t>アブラ</t>
    </rPh>
    <phoneticPr fontId="1"/>
  </si>
  <si>
    <t>ジェネリンク(ガス)</t>
    <phoneticPr fontId="1"/>
  </si>
  <si>
    <t>吸収冷温水機(ガス)</t>
  </si>
  <si>
    <t>吸収冷温水機(油)</t>
    <phoneticPr fontId="1"/>
  </si>
  <si>
    <t>節電型吸収冷温水機(ガス)</t>
    <rPh sb="0" eb="3">
      <t>セツデンガタ</t>
    </rPh>
    <rPh sb="3" eb="5">
      <t>キュウシュウ</t>
    </rPh>
    <phoneticPr fontId="1"/>
  </si>
  <si>
    <t>節電型吸収冷温水機(油)</t>
    <rPh sb="0" eb="3">
      <t>セツデンガタ</t>
    </rPh>
    <rPh sb="3" eb="5">
      <t>キュウシュウ</t>
    </rPh>
    <phoneticPr fontId="1"/>
  </si>
  <si>
    <t>吸収冷温水機(ガス)</t>
    <rPh sb="0" eb="2">
      <t>キュウシュウ</t>
    </rPh>
    <rPh sb="2" eb="5">
      <t>レイオンスイ</t>
    </rPh>
    <rPh sb="5" eb="6">
      <t>キ</t>
    </rPh>
    <phoneticPr fontId="1"/>
  </si>
  <si>
    <t>吸収冷温水機(油)</t>
    <rPh sb="0" eb="2">
      <t>キュウシュウ</t>
    </rPh>
    <rPh sb="2" eb="5">
      <t>レイオンスイ</t>
    </rPh>
    <rPh sb="5" eb="6">
      <t>キ</t>
    </rPh>
    <phoneticPr fontId="1"/>
  </si>
  <si>
    <t>ジェネリンク(ガス)</t>
    <phoneticPr fontId="1"/>
  </si>
  <si>
    <t>◆既存設備の製造年代定格COP</t>
    <rPh sb="1" eb="3">
      <t>キゾン</t>
    </rPh>
    <rPh sb="3" eb="5">
      <t>セツビ</t>
    </rPh>
    <rPh sb="6" eb="8">
      <t>セイゾウ</t>
    </rPh>
    <rPh sb="8" eb="10">
      <t>ネンダイ</t>
    </rPh>
    <rPh sb="10" eb="12">
      <t>テイカク</t>
    </rPh>
    <phoneticPr fontId="1"/>
  </si>
  <si>
    <t>ガス</t>
  </si>
  <si>
    <t>熱</t>
    <rPh sb="0" eb="1">
      <t>ネツ</t>
    </rPh>
    <phoneticPr fontId="1"/>
  </si>
  <si>
    <t>エネルギー区分</t>
    <phoneticPr fontId="1"/>
  </si>
  <si>
    <t>使用エネルギー</t>
    <phoneticPr fontId="1"/>
  </si>
  <si>
    <t>ガス（プロパン）</t>
    <phoneticPr fontId="1"/>
  </si>
  <si>
    <t>原油換算係数</t>
    <rPh sb="0" eb="2">
      <t>ゲンユ</t>
    </rPh>
    <rPh sb="2" eb="4">
      <t>カンサン</t>
    </rPh>
    <rPh sb="4" eb="6">
      <t>ケイスウ</t>
    </rPh>
    <phoneticPr fontId="1"/>
  </si>
  <si>
    <t>機器種別</t>
    <rPh sb="0" eb="2">
      <t>キキ</t>
    </rPh>
    <rPh sb="2" eb="4">
      <t>シュベツ</t>
    </rPh>
    <phoneticPr fontId="1"/>
  </si>
  <si>
    <t>1950年以前</t>
  </si>
  <si>
    <t>熱量換算係数</t>
    <rPh sb="0" eb="2">
      <t>ネツリョウ</t>
    </rPh>
    <rPh sb="2" eb="4">
      <t>カンサン</t>
    </rPh>
    <rPh sb="4" eb="6">
      <t>ケイスウ</t>
    </rPh>
    <phoneticPr fontId="6"/>
  </si>
  <si>
    <t>(kW)</t>
  </si>
  <si>
    <t>■原油換算係数</t>
    <rPh sb="1" eb="3">
      <t>ゲンユ</t>
    </rPh>
    <rPh sb="3" eb="5">
      <t>カンサン</t>
    </rPh>
    <rPh sb="5" eb="7">
      <t>ケイスウ</t>
    </rPh>
    <phoneticPr fontId="1"/>
  </si>
  <si>
    <t>◆熱量換算係数</t>
    <rPh sb="1" eb="2">
      <t>ネツ</t>
    </rPh>
    <rPh sb="2" eb="3">
      <t>リョウ</t>
    </rPh>
    <rPh sb="3" eb="5">
      <t>カンサン</t>
    </rPh>
    <rPh sb="5" eb="7">
      <t>ケイスウ</t>
    </rPh>
    <phoneticPr fontId="1"/>
  </si>
  <si>
    <t>■熱量変換係数</t>
    <rPh sb="1" eb="2">
      <t>ネツ</t>
    </rPh>
    <rPh sb="2" eb="3">
      <t>リョウ</t>
    </rPh>
    <rPh sb="3" eb="5">
      <t>ヘンカン</t>
    </rPh>
    <rPh sb="5" eb="7">
      <t>ケイスウ</t>
    </rPh>
    <phoneticPr fontId="1"/>
  </si>
  <si>
    <t>吸収冷温水機(ガス)</t>
    <phoneticPr fontId="1"/>
  </si>
  <si>
    <t>2017年</t>
    <rPh sb="4" eb="5">
      <t>ネン</t>
    </rPh>
    <phoneticPr fontId="1"/>
  </si>
  <si>
    <t>ガス（その他）</t>
    <rPh sb="5" eb="6">
      <t>タ</t>
    </rPh>
    <phoneticPr fontId="1"/>
  </si>
  <si>
    <t>冷却水ポンプ消費電力
(インバータ制御加味しない)</t>
    <rPh sb="0" eb="3">
      <t>レイキャクスイ</t>
    </rPh>
    <rPh sb="6" eb="8">
      <t>ショウヒ</t>
    </rPh>
    <rPh sb="8" eb="10">
      <t>デンリョク</t>
    </rPh>
    <rPh sb="17" eb="19">
      <t>セイギョ</t>
    </rPh>
    <rPh sb="19" eb="21">
      <t>カミ</t>
    </rPh>
    <phoneticPr fontId="1"/>
  </si>
  <si>
    <t>平均ガス使用量</t>
    <rPh sb="0" eb="2">
      <t>ヘイキン</t>
    </rPh>
    <rPh sb="4" eb="7">
      <t>シヨウリョウ</t>
    </rPh>
    <phoneticPr fontId="1"/>
  </si>
  <si>
    <t>■仕様</t>
    <rPh sb="1" eb="3">
      <t>シヨウ</t>
    </rPh>
    <phoneticPr fontId="1"/>
  </si>
  <si>
    <t>能力</t>
    <rPh sb="0" eb="2">
      <t>ノウリョク</t>
    </rPh>
    <phoneticPr fontId="6"/>
  </si>
  <si>
    <t>■稼働条件</t>
    <rPh sb="1" eb="3">
      <t>カドウ</t>
    </rPh>
    <rPh sb="3" eb="5">
      <t>ジョウケン</t>
    </rPh>
    <phoneticPr fontId="1"/>
  </si>
  <si>
    <t>燃料種</t>
    <rPh sb="0" eb="2">
      <t>ネンリョウ</t>
    </rPh>
    <rPh sb="2" eb="3">
      <t>シュ</t>
    </rPh>
    <phoneticPr fontId="1"/>
  </si>
  <si>
    <t>■エネルギー使用量</t>
    <rPh sb="6" eb="8">
      <t>シヨウ</t>
    </rPh>
    <rPh sb="8" eb="9">
      <t>リョウ</t>
    </rPh>
    <phoneticPr fontId="6"/>
  </si>
  <si>
    <t>■冷却水ポンプ</t>
    <rPh sb="1" eb="4">
      <t>レイキャクスイ</t>
    </rPh>
    <phoneticPr fontId="1"/>
  </si>
  <si>
    <t>節電型への更新</t>
    <rPh sb="0" eb="3">
      <t>セツデンガタ</t>
    </rPh>
    <rPh sb="5" eb="7">
      <t>コウシン</t>
    </rPh>
    <phoneticPr fontId="1"/>
  </si>
  <si>
    <t>ガス種別</t>
    <rPh sb="2" eb="4">
      <t>シュベツ</t>
    </rPh>
    <phoneticPr fontId="1"/>
  </si>
  <si>
    <t>代表発熱量(MJ/㎥)</t>
    <rPh sb="0" eb="2">
      <t>ダイヒョウ</t>
    </rPh>
    <rPh sb="2" eb="4">
      <t>ハツネツ</t>
    </rPh>
    <rPh sb="4" eb="5">
      <t>リョウ</t>
    </rPh>
    <phoneticPr fontId="1"/>
  </si>
  <si>
    <t>kcal/h→kW換算</t>
    <rPh sb="9" eb="11">
      <t>カンサン</t>
    </rPh>
    <phoneticPr fontId="1"/>
  </si>
  <si>
    <t>定格燃料使用量</t>
    <rPh sb="0" eb="2">
      <t>テイカク</t>
    </rPh>
    <rPh sb="2" eb="4">
      <t>ネンリョウ</t>
    </rPh>
    <rPh sb="4" eb="7">
      <t>シヨウリョウ</t>
    </rPh>
    <phoneticPr fontId="1"/>
  </si>
  <si>
    <t>定格COP</t>
    <rPh sb="0" eb="2">
      <t>テイカク</t>
    </rPh>
    <phoneticPr fontId="1"/>
  </si>
  <si>
    <t>■エネルギー使用量（冷却水ポンプ）</t>
    <rPh sb="6" eb="8">
      <t>シヨウ</t>
    </rPh>
    <rPh sb="8" eb="9">
      <t>リョウ</t>
    </rPh>
    <rPh sb="10" eb="13">
      <t>レイキャクスイ</t>
    </rPh>
    <phoneticPr fontId="6"/>
  </si>
  <si>
    <t>■基本情報</t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</si>
  <si>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</si>
  <si>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</si>
  <si>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燃料種</t>
    <rPh sb="0" eb="2">
      <t>ネンリョウ</t>
    </rPh>
    <rPh sb="2" eb="3">
      <t>シュ</t>
    </rPh>
    <phoneticPr fontId="1"/>
  </si>
  <si>
    <t>既存設備</t>
    <phoneticPr fontId="1"/>
  </si>
  <si>
    <t>型番</t>
    <phoneticPr fontId="1"/>
  </si>
  <si>
    <t>　</t>
    <phoneticPr fontId="1"/>
  </si>
  <si>
    <t>←本計算書の結果を反映して作成した様式の番号を入力</t>
    <phoneticPr fontId="1"/>
  </si>
  <si>
    <t>←計算する設備の製品名を入力</t>
    <phoneticPr fontId="1"/>
  </si>
  <si>
    <t>←計算する設備の型番を入力</t>
    <phoneticPr fontId="1"/>
  </si>
  <si>
    <t>←製品カタログ・仕様書に記載された値を入力</t>
    <phoneticPr fontId="1"/>
  </si>
  <si>
    <t>←設置年を選択</t>
    <phoneticPr fontId="1"/>
  </si>
  <si>
    <t>←設置台数を入力（半角）</t>
    <phoneticPr fontId="1"/>
  </si>
  <si>
    <t>←「該当」「非該当」から選択</t>
    <phoneticPr fontId="1"/>
  </si>
  <si>
    <t>←計算する設備の型番を入力</t>
    <phoneticPr fontId="1"/>
  </si>
  <si>
    <t>←製品カタログ・仕様書に記載された値を入力</t>
    <phoneticPr fontId="1"/>
  </si>
  <si>
    <t>←設置台数を入力（半角）</t>
    <phoneticPr fontId="1"/>
  </si>
  <si>
    <t>←本計算書の結果を反映して作成した様式の番号を入力</t>
    <phoneticPr fontId="1"/>
  </si>
  <si>
    <t>←計算する設備の製品名を入力</t>
    <phoneticPr fontId="1"/>
  </si>
  <si>
    <t>←製品カタログ・仕様書に記載された値を入力</t>
    <phoneticPr fontId="1"/>
  </si>
  <si>
    <t>←設置年を選択</t>
    <phoneticPr fontId="1"/>
  </si>
  <si>
    <t>---------------以降の項目を使って計算します。入力に間違いの無いよう、十分注意して入力してください。---------------</t>
    <rPh sb="48" eb="50">
      <t>ニュウリョク</t>
    </rPh>
    <phoneticPr fontId="6"/>
  </si>
  <si>
    <t>発熱量(高位)</t>
    <rPh sb="0" eb="2">
      <t>ハツネツ</t>
    </rPh>
    <rPh sb="2" eb="3">
      <t>リョウ</t>
    </rPh>
    <rPh sb="4" eb="6">
      <t>コウイ</t>
    </rPh>
    <phoneticPr fontId="1"/>
  </si>
  <si>
    <t>MJ/㎥</t>
    <phoneticPr fontId="1"/>
  </si>
  <si>
    <t>(㎥)</t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</si>
  <si>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</si>
  <si>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</si>
  <si>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その他</t>
    <rPh sb="2" eb="3">
      <t>タ</t>
    </rPh>
    <phoneticPr fontId="1"/>
  </si>
  <si>
    <t>1その他</t>
  </si>
  <si>
    <t>2その他</t>
  </si>
  <si>
    <t>3その他</t>
  </si>
  <si>
    <t>4その他</t>
  </si>
  <si>
    <t>5その他</t>
  </si>
  <si>
    <t>6その他</t>
  </si>
  <si>
    <t>7その他</t>
  </si>
  <si>
    <t>8その他</t>
  </si>
  <si>
    <t>9その他</t>
  </si>
  <si>
    <t>10その他</t>
  </si>
  <si>
    <t>11その他</t>
  </si>
  <si>
    <t>12その他</t>
  </si>
  <si>
    <t>任意入力</t>
    <rPh sb="0" eb="2">
      <t>ニンイ</t>
    </rPh>
    <rPh sb="2" eb="4">
      <t>ニュウリョク</t>
    </rPh>
    <phoneticPr fontId="1"/>
  </si>
  <si>
    <t>入力項目</t>
    <rPh sb="0" eb="2">
      <t>ニュウリョク</t>
    </rPh>
    <rPh sb="2" eb="4">
      <t>コウモク</t>
    </rPh>
    <phoneticPr fontId="1"/>
  </si>
  <si>
    <t>既存設備</t>
    <phoneticPr fontId="1"/>
  </si>
  <si>
    <t>導入予定設備</t>
    <phoneticPr fontId="1"/>
  </si>
  <si>
    <t>←「店舗」「事務所」「その他」から選択
　 ※「その他」を選択すると任意の負荷率が設定可能</t>
    <phoneticPr fontId="1"/>
  </si>
  <si>
    <t>台</t>
    <rPh sb="0" eb="1">
      <t>ダイ</t>
    </rPh>
    <phoneticPr fontId="1"/>
  </si>
  <si>
    <t>【運転種別】
 [冷房][暖房]から選択</t>
    <rPh sb="1" eb="3">
      <t>ウンテン</t>
    </rPh>
    <rPh sb="3" eb="5">
      <t>シュベツ</t>
    </rPh>
    <rPh sb="9" eb="11">
      <t>レイボウ</t>
    </rPh>
    <rPh sb="13" eb="15">
      <t>ダンボウ</t>
    </rPh>
    <rPh sb="18" eb="20">
      <t>センタク</t>
    </rPh>
    <phoneticPr fontId="1"/>
  </si>
  <si>
    <t>【稼働時間】
 月毎の稼働時間を入力</t>
    <rPh sb="1" eb="3">
      <t>カドウ</t>
    </rPh>
    <rPh sb="3" eb="5">
      <t>ジカン</t>
    </rPh>
    <rPh sb="8" eb="10">
      <t>ツキゴト</t>
    </rPh>
    <rPh sb="11" eb="13">
      <t>カドウ</t>
    </rPh>
    <rPh sb="13" eb="15">
      <t>ジカン</t>
    </rPh>
    <rPh sb="16" eb="18">
      <t>ニュウリョク</t>
    </rPh>
    <phoneticPr fontId="1"/>
  </si>
  <si>
    <t>←設備で使用するガス種別を選択</t>
  </si>
  <si>
    <t>←使用するガスの発熱量を入力</t>
    <rPh sb="1" eb="3">
      <t>シヨウ</t>
    </rPh>
    <rPh sb="8" eb="10">
      <t>ハツネツ</t>
    </rPh>
    <rPh sb="10" eb="11">
      <t>リョウ</t>
    </rPh>
    <rPh sb="12" eb="14">
      <t>ニュウリョク</t>
    </rPh>
    <phoneticPr fontId="1"/>
  </si>
  <si>
    <t>メーカー</t>
    <phoneticPr fontId="6"/>
  </si>
  <si>
    <t>←計算する設備のメーカー名を入力</t>
    <phoneticPr fontId="1"/>
  </si>
  <si>
    <t>㎥/h</t>
    <phoneticPr fontId="1"/>
  </si>
  <si>
    <r>
      <rPr>
        <b/>
        <sz val="12"/>
        <color theme="1"/>
        <rFont val="ＭＳ 明朝"/>
        <family val="1"/>
        <charset val="128"/>
      </rPr>
      <t>　</t>
    </r>
    <r>
      <rPr>
        <b/>
        <u/>
        <sz val="12"/>
        <color theme="1"/>
        <rFont val="ＭＳ 明朝"/>
        <family val="1"/>
        <charset val="128"/>
      </rPr>
      <t>吸収冷温水機（ガス焚き）　SII省エネ計算フォーマット</t>
    </r>
    <rPh sb="1" eb="3">
      <t>キュウシュウ</t>
    </rPh>
    <rPh sb="3" eb="6">
      <t>レイオンスイ</t>
    </rPh>
    <rPh sb="6" eb="7">
      <t>キ</t>
    </rPh>
    <rPh sb="10" eb="11">
      <t>タ</t>
    </rPh>
    <rPh sb="17" eb="18">
      <t>ショウ</t>
    </rPh>
    <rPh sb="20" eb="22">
      <t>ケイサン</t>
    </rPh>
    <phoneticPr fontId="6"/>
  </si>
  <si>
    <t>○○株式会社</t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</si>
  <si>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</si>
  <si>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</si>
  <si>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産気率</t>
    <rPh sb="0" eb="1">
      <t>サン</t>
    </rPh>
    <rPh sb="1" eb="2">
      <t>キ</t>
    </rPh>
    <rPh sb="2" eb="3">
      <t>リツ</t>
    </rPh>
    <phoneticPr fontId="1"/>
  </si>
  <si>
    <t>(kg)</t>
    <phoneticPr fontId="1"/>
  </si>
  <si>
    <t>(㎥)</t>
  </si>
  <si>
    <t>直接入力</t>
    <phoneticPr fontId="1"/>
  </si>
  <si>
    <r>
      <rPr>
        <sz val="8"/>
        <color rgb="FFFF0000"/>
        <rFont val="ＭＳ 明朝"/>
        <family val="1"/>
        <charset val="128"/>
      </rPr>
      <t>【エネルギー使用量】</t>
    </r>
    <r>
      <rPr>
        <sz val="8"/>
        <color rgb="FF0070C0"/>
        <rFont val="ＭＳ 明朝"/>
        <family val="1"/>
        <charset val="128"/>
      </rPr>
      <t xml:space="preserve">
 </t>
    </r>
    <r>
      <rPr>
        <sz val="8"/>
        <color rgb="FFFF0000"/>
        <rFont val="ＭＳ 明朝"/>
        <family val="1"/>
        <charset val="128"/>
      </rPr>
      <t>赤枠内の数値を補助
 事業ポータルに転記
※LPGの場合、㎥からkgへ
　換算した値を補助事業
　ポータルへ転記</t>
    </r>
    <rPh sb="6" eb="9">
      <t>シヨウリョウ</t>
    </rPh>
    <rPh sb="12" eb="13">
      <t>アカ</t>
    </rPh>
    <rPh sb="13" eb="14">
      <t>ワク</t>
    </rPh>
    <rPh sb="14" eb="15">
      <t>ナイ</t>
    </rPh>
    <rPh sb="16" eb="18">
      <t>スウチ</t>
    </rPh>
    <rPh sb="19" eb="21">
      <t>ホジョ</t>
    </rPh>
    <rPh sb="23" eb="25">
      <t>ジギョウ</t>
    </rPh>
    <rPh sb="30" eb="32">
      <t>テンキ</t>
    </rPh>
    <rPh sb="38" eb="40">
      <t>バアイ</t>
    </rPh>
    <rPh sb="49" eb="51">
      <t>カンサン</t>
    </rPh>
    <rPh sb="53" eb="54">
      <t>アタイ</t>
    </rPh>
    <rPh sb="55" eb="57">
      <t>ホジョ</t>
    </rPh>
    <rPh sb="57" eb="59">
      <t>ジギョウ</t>
    </rPh>
    <rPh sb="66" eb="68">
      <t>テンキ</t>
    </rPh>
    <phoneticPr fontId="1"/>
  </si>
  <si>
    <t>エネルギー使用量</t>
    <phoneticPr fontId="1"/>
  </si>
  <si>
    <t>kg換算値</t>
    <phoneticPr fontId="1"/>
  </si>
  <si>
    <t>（㎥)</t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</si>
  <si>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</si>
  <si>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</si>
  <si>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【平均負荷率】
 [その他]を選択した場合、
 数式を削除した上で任意の負荷率を登録</t>
    <rPh sb="1" eb="3">
      <t>ヘイキン</t>
    </rPh>
    <rPh sb="3" eb="5">
      <t>フカ</t>
    </rPh>
    <rPh sb="5" eb="6">
      <t>リツ</t>
    </rPh>
    <rPh sb="12" eb="13">
      <t>タ</t>
    </rPh>
    <rPh sb="15" eb="17">
      <t>センタク</t>
    </rPh>
    <rPh sb="19" eb="21">
      <t>バアイ</t>
    </rPh>
    <rPh sb="24" eb="26">
      <t>スウシキ</t>
    </rPh>
    <rPh sb="27" eb="29">
      <t>サクジョ</t>
    </rPh>
    <rPh sb="31" eb="32">
      <t>ウエ</t>
    </rPh>
    <rPh sb="33" eb="35">
      <t>ニンイ</t>
    </rPh>
    <rPh sb="36" eb="38">
      <t>フカ</t>
    </rPh>
    <rPh sb="38" eb="39">
      <t>リツ</t>
    </rPh>
    <rPh sb="40" eb="42">
      <t>トウロク</t>
    </rPh>
    <phoneticPr fontId="1"/>
  </si>
  <si>
    <t>冷却水系機
内水頭損失</t>
    <rPh sb="0" eb="3">
      <t>レイキャクスイ</t>
    </rPh>
    <rPh sb="3" eb="4">
      <t>ケイ</t>
    </rPh>
    <rPh sb="4" eb="5">
      <t>キ</t>
    </rPh>
    <rPh sb="6" eb="7">
      <t>ナイ</t>
    </rPh>
    <rPh sb="7" eb="9">
      <t>スイトウ</t>
    </rPh>
    <rPh sb="9" eb="11">
      <t>ソンシツ</t>
    </rPh>
    <phoneticPr fontId="1"/>
  </si>
  <si>
    <t>能力</t>
    <rPh sb="0" eb="2">
      <t>ノウリョク</t>
    </rPh>
    <phoneticPr fontId="1"/>
  </si>
  <si>
    <t>定格ガス
使用量
（高位）</t>
    <rPh sb="0" eb="2">
      <t>テイカク</t>
    </rPh>
    <phoneticPr fontId="1"/>
  </si>
  <si>
    <t>定格ガス
使用量
（高位）</t>
    <rPh sb="0" eb="2">
      <t>テイカク</t>
    </rPh>
    <rPh sb="5" eb="8">
      <t>シヨウリョウ</t>
    </rPh>
    <rPh sb="10" eb="12">
      <t>コウイ</t>
    </rPh>
    <phoneticPr fontId="1"/>
  </si>
  <si>
    <t>(kW)</t>
    <phoneticPr fontId="1"/>
  </si>
  <si>
    <t>←製品カタログ・仕様書に記載された値を入力（不明の場合は未記入）</t>
    <rPh sb="28" eb="31">
      <t>ミキニュウ</t>
    </rPh>
    <phoneticPr fontId="1"/>
  </si>
  <si>
    <t>←使用するガスの発熱量を入力</t>
    <rPh sb="8" eb="11">
      <t>ハツネツリョウ</t>
    </rPh>
    <rPh sb="12" eb="14">
      <t>ニュウリョク</t>
    </rPh>
    <phoneticPr fontId="1"/>
  </si>
  <si>
    <t>㎥/ｈ</t>
  </si>
  <si>
    <t>2023年</t>
    <rPh sb="4" eb="5">
      <t>ネン</t>
    </rPh>
    <phoneticPr fontId="1"/>
  </si>
  <si>
    <t>2010年</t>
    <rPh sb="4" eb="5">
      <t>ネン</t>
    </rPh>
    <phoneticPr fontId="1"/>
  </si>
  <si>
    <t>既存設備に関するエネルギー使用量の計算結果と実際の燃料使用量に乖離がある場合は、
建物用途「その他」を選択し、実際の燃料使用量に合うように負荷率を調整してください。</t>
    <phoneticPr fontId="1"/>
  </si>
  <si>
    <t>2024年</t>
    <rPh sb="4" eb="5">
      <t>ネン</t>
    </rPh>
    <phoneticPr fontId="1"/>
  </si>
  <si>
    <t>いちじえねるぎーかんさんけいすう</t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</si>
  <si>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</si>
  <si>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</si>
  <si>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NO.</t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</si>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</sst>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¥&quot;#,##0_);[Red]\(&quot;¥&quot;#,##0\)"/>
    <numFmt numFmtId="177" formatCode="0.0%"/>
    <numFmt numFmtId="178" formatCode="0&quot;月&quot;"/>
    <numFmt numFmtId="179" formatCode="0.000"/>
    <numFmt numFmtId="180" formatCode="0&quot;年&quot;"/>
    <numFmt numFmtId="181" formatCode="&quot;定&quot;&quot;格&quot;&quot;燃&quot;&quot;料&quot;&quot;使&quot;&quot;用&quot;&quot;量&quot;\_x000a_\&amp;\(\&amp;\ 0\ \&amp;\)\&amp;"/>
    <numFmt numFmtId="182" formatCode="0\ &quot;台&quot;"/>
    <numFmt numFmtId="183" formatCode="0.000&quot; kl&quot;"/>
    <numFmt numFmtId="184" formatCode="&quot;(&quot;@&quot;)&quot;"/>
    <numFmt numFmtId="185" formatCode="0.000_);[Red]\(0.000\)"/>
    <numFmt numFmtId="186" formatCode="0_);[Red]\(0\)"/>
    <numFmt numFmtId="187" formatCode="#,##0_);[Red]\(#,##0\)"/>
    <numFmt numFmtId="188" formatCode="#,##0.00_);[Red]\(#,##0.00\)"/>
    <numFmt numFmtId="189" formatCode="#,##0.0_ ;[Red]\-#,##0.0\ "/>
    <numFmt numFmtId="190" formatCode="#,##0.000_ ;[Red]\-#,##0.000\ "/>
    <numFmt numFmtId="191" formatCode="#,##0.0_);[Red]\(#,##0.0\)"/>
    <numFmt numFmtId="192" formatCode="#,##0_ "/>
    <numFmt numFmtId="193" formatCode="#,##0.0;[Red]\-#,##0.0"/>
    <numFmt numFmtId="194" formatCode="0.0"/>
    <numFmt numFmtId="195" formatCode="0.0_);[Red]\(0.0\)"/>
    <numFmt numFmtId="196" formatCode="#,##0.000_ "/>
    <numFmt numFmtId="197" formatCode="0_ "/>
  </numFmts>
  <fonts count="4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3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u/>
      <sz val="12"/>
      <color indexed="12"/>
      <name val="Osaka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u/>
      <sz val="9"/>
      <color indexed="12"/>
      <name val="ＭＳ Ｐゴシック"/>
      <family val="3"/>
      <charset val="128"/>
    </font>
    <font>
      <b/>
      <u/>
      <sz val="12"/>
      <color theme="1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ＭＳ 明朝"/>
      <family val="1"/>
      <charset val="128"/>
    </font>
    <font>
      <sz val="9.5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color rgb="FF0070C0"/>
      <name val="ＭＳ 明朝"/>
      <family val="1"/>
      <charset val="128"/>
    </font>
    <font>
      <sz val="12"/>
      <name val="Osaka"/>
      <family val="1"/>
      <charset val="128"/>
    </font>
    <font>
      <b/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.5"/>
      <color rgb="FFFF0000"/>
      <name val="ＭＳ 明朝"/>
      <family val="1"/>
      <charset val="128"/>
    </font>
    <font>
      <sz val="8.5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ck">
        <color rgb="FFFF0000"/>
      </bottom>
      <diagonal/>
    </border>
    <border>
      <left/>
      <right style="thick">
        <color rgb="FFFF0000"/>
      </right>
      <top style="double">
        <color auto="1"/>
      </top>
      <bottom style="thick">
        <color rgb="FFFF0000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n">
        <color theme="1"/>
      </left>
      <right/>
      <top style="thick">
        <color rgb="FFFF0000"/>
      </top>
      <bottom style="thin">
        <color theme="1"/>
      </bottom>
      <diagonal/>
    </border>
    <border>
      <left/>
      <right/>
      <top style="thick">
        <color rgb="FFFF0000"/>
      </top>
      <bottom style="thin">
        <color theme="1"/>
      </bottom>
      <diagonal/>
    </border>
    <border>
      <left/>
      <right style="thin">
        <color theme="1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double">
        <color theme="1"/>
      </top>
      <bottom style="thick">
        <color rgb="FFFF0000"/>
      </bottom>
      <diagonal/>
    </border>
    <border>
      <left/>
      <right/>
      <top style="double">
        <color theme="1"/>
      </top>
      <bottom style="thick">
        <color rgb="FFFF0000"/>
      </bottom>
      <diagonal/>
    </border>
    <border>
      <left/>
      <right style="thick">
        <color rgb="FFFF0000"/>
      </right>
      <top style="double">
        <color theme="1"/>
      </top>
      <bottom style="thick">
        <color rgb="FFFF0000"/>
      </bottom>
      <diagonal/>
    </border>
  </borders>
  <cellStyleXfs count="16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8" fontId="14" fillId="0" borderId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38" fontId="4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7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1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37" fillId="0" borderId="0"/>
    <xf numFmtId="0" fontId="4" fillId="0" borderId="0">
      <alignment vertical="center"/>
    </xf>
    <xf numFmtId="0" fontId="11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/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179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7" borderId="1" xfId="0" applyFill="1" applyBorder="1">
      <alignment vertical="center"/>
    </xf>
    <xf numFmtId="2" fontId="10" fillId="0" borderId="1" xfId="0" applyNumberFormat="1" applyFont="1" applyBorder="1" applyAlignment="1">
      <alignment horizontal="right" vertical="center" readingOrder="1"/>
    </xf>
    <xf numFmtId="2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38" fontId="0" fillId="0" borderId="1" xfId="4" applyFont="1" applyBorder="1">
      <alignment vertical="center"/>
    </xf>
    <xf numFmtId="38" fontId="0" fillId="0" borderId="1" xfId="4" applyFont="1" applyFill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7" fillId="0" borderId="10" xfId="0" applyFont="1" applyBorder="1">
      <alignment vertical="center"/>
    </xf>
    <xf numFmtId="0" fontId="4" fillId="0" borderId="1" xfId="3" applyBorder="1" applyAlignment="1">
      <alignment horizontal="left"/>
    </xf>
    <xf numFmtId="179" fontId="20" fillId="0" borderId="1" xfId="0" applyNumberFormat="1" applyFont="1" applyBorder="1" applyAlignment="1">
      <alignment horizontal="center" vertical="center"/>
    </xf>
    <xf numFmtId="0" fontId="22" fillId="0" borderId="0" xfId="22" applyFont="1">
      <alignment vertical="center"/>
    </xf>
    <xf numFmtId="0" fontId="22" fillId="0" borderId="1" xfId="22" applyFont="1" applyBorder="1">
      <alignment vertical="center"/>
    </xf>
    <xf numFmtId="0" fontId="23" fillId="8" borderId="1" xfId="0" applyFont="1" applyFill="1" applyBorder="1">
      <alignment vertical="center"/>
    </xf>
    <xf numFmtId="0" fontId="24" fillId="8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179" fontId="0" fillId="0" borderId="0" xfId="0" applyNumberFormat="1" applyAlignment="1">
      <alignment horizontal="center" vertical="center"/>
    </xf>
    <xf numFmtId="0" fontId="0" fillId="0" borderId="27" xfId="0" applyBorder="1">
      <alignment vertical="center"/>
    </xf>
    <xf numFmtId="0" fontId="33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0" fillId="0" borderId="11" xfId="8" applyFont="1" applyBorder="1" applyAlignment="1" applyProtection="1">
      <alignment vertical="center" shrinkToFit="1"/>
      <protection hidden="1"/>
    </xf>
    <xf numFmtId="0" fontId="12" fillId="0" borderId="0" xfId="8" applyFont="1" applyAlignment="1" applyProtection="1">
      <alignment horizontal="left" vertical="center" shrinkToFit="1"/>
      <protection hidden="1"/>
    </xf>
    <xf numFmtId="0" fontId="31" fillId="0" borderId="0" xfId="8" applyFont="1" applyAlignment="1" applyProtection="1">
      <alignment vertical="center" shrinkToFit="1"/>
      <protection hidden="1"/>
    </xf>
    <xf numFmtId="0" fontId="30" fillId="0" borderId="0" xfId="8" applyFont="1" applyAlignment="1" applyProtection="1">
      <alignment vertical="center" shrinkToFit="1"/>
      <protection hidden="1"/>
    </xf>
    <xf numFmtId="0" fontId="12" fillId="0" borderId="0" xfId="8" applyFont="1" applyAlignment="1" applyProtection="1">
      <alignment vertical="center" shrinkToFit="1"/>
      <protection hidden="1"/>
    </xf>
    <xf numFmtId="0" fontId="12" fillId="6" borderId="29" xfId="8" applyFont="1" applyFill="1" applyBorder="1" applyAlignment="1" applyProtection="1">
      <alignment vertical="center" shrinkToFit="1"/>
      <protection hidden="1"/>
    </xf>
    <xf numFmtId="0" fontId="12" fillId="2" borderId="30" xfId="8" applyFont="1" applyFill="1" applyBorder="1" applyAlignment="1" applyProtection="1">
      <alignment vertical="center" shrinkToFit="1"/>
      <protection hidden="1"/>
    </xf>
    <xf numFmtId="0" fontId="12" fillId="6" borderId="0" xfId="8" applyFont="1" applyFill="1" applyAlignment="1" applyProtection="1">
      <alignment vertical="center" shrinkToFit="1"/>
      <protection hidden="1"/>
    </xf>
    <xf numFmtId="0" fontId="12" fillId="2" borderId="0" xfId="8" applyFont="1" applyFill="1" applyAlignment="1" applyProtection="1">
      <alignment vertical="center" shrinkToFit="1"/>
      <protection hidden="1"/>
    </xf>
    <xf numFmtId="0" fontId="12" fillId="0" borderId="0" xfId="8" applyFont="1" applyAlignment="1" applyProtection="1">
      <alignment horizontal="center" vertical="center"/>
      <protection hidden="1"/>
    </xf>
    <xf numFmtId="0" fontId="12" fillId="0" borderId="32" xfId="8" applyFont="1" applyBorder="1" applyAlignment="1" applyProtection="1">
      <alignment horizontal="center" vertical="center"/>
      <protection hidden="1"/>
    </xf>
    <xf numFmtId="193" fontId="12" fillId="0" borderId="33" xfId="4" applyNumberFormat="1" applyFont="1" applyBorder="1" applyAlignment="1" applyProtection="1">
      <alignment horizontal="center" vertical="center"/>
      <protection hidden="1"/>
    </xf>
    <xf numFmtId="193" fontId="12" fillId="0" borderId="31" xfId="4" applyNumberFormat="1" applyFont="1" applyBorder="1" applyAlignment="1" applyProtection="1">
      <alignment horizontal="center" vertical="center"/>
      <protection hidden="1"/>
    </xf>
    <xf numFmtId="193" fontId="12" fillId="0" borderId="0" xfId="4" applyNumberFormat="1" applyFont="1" applyBorder="1" applyAlignment="1" applyProtection="1">
      <alignment horizontal="center" vertical="center"/>
      <protection hidden="1"/>
    </xf>
    <xf numFmtId="179" fontId="12" fillId="0" borderId="0" xfId="8" applyNumberFormat="1" applyFont="1" applyAlignment="1" applyProtection="1">
      <alignment horizontal="center" vertical="center"/>
      <protection hidden="1"/>
    </xf>
    <xf numFmtId="192" fontId="12" fillId="0" borderId="0" xfId="8" applyNumberFormat="1" applyFont="1" applyAlignment="1" applyProtection="1">
      <alignment vertical="center" shrinkToFit="1"/>
      <protection hidden="1"/>
    </xf>
    <xf numFmtId="0" fontId="12" fillId="6" borderId="3" xfId="8" applyFont="1" applyFill="1" applyBorder="1" applyAlignment="1" applyProtection="1">
      <alignment horizontal="center" vertical="center" shrinkToFit="1"/>
      <protection hidden="1"/>
    </xf>
    <xf numFmtId="193" fontId="12" fillId="0" borderId="0" xfId="4" applyNumberFormat="1" applyFont="1" applyFill="1" applyBorder="1" applyAlignment="1" applyProtection="1">
      <alignment horizontal="center" vertical="center" shrinkToFit="1"/>
      <protection hidden="1"/>
    </xf>
    <xf numFmtId="0" fontId="12" fillId="6" borderId="32" xfId="8" applyFont="1" applyFill="1" applyBorder="1" applyAlignment="1" applyProtection="1">
      <alignment horizontal="center" vertical="center" shrinkToFit="1"/>
      <protection hidden="1"/>
    </xf>
    <xf numFmtId="192" fontId="12" fillId="0" borderId="33" xfId="8" applyNumberFormat="1" applyFont="1" applyBorder="1" applyAlignment="1" applyProtection="1">
      <alignment vertical="center" shrinkToFit="1"/>
      <protection hidden="1"/>
    </xf>
    <xf numFmtId="0" fontId="12" fillId="0" borderId="31" xfId="8" applyFont="1" applyBorder="1" applyAlignment="1" applyProtection="1">
      <alignment vertical="center" shrinkToFit="1"/>
      <protection hidden="1"/>
    </xf>
    <xf numFmtId="0" fontId="12" fillId="0" borderId="29" xfId="8" applyFont="1" applyBorder="1" applyAlignment="1" applyProtection="1">
      <alignment horizontal="center" vertical="center"/>
      <protection hidden="1"/>
    </xf>
    <xf numFmtId="180" fontId="12" fillId="0" borderId="30" xfId="8" applyNumberFormat="1" applyFont="1" applyBorder="1" applyAlignment="1" applyProtection="1">
      <alignment horizontal="center" vertical="center"/>
      <protection hidden="1"/>
    </xf>
    <xf numFmtId="180" fontId="12" fillId="0" borderId="0" xfId="8" applyNumberFormat="1" applyFont="1" applyAlignment="1" applyProtection="1">
      <alignment horizontal="center" vertical="center"/>
      <protection hidden="1"/>
    </xf>
    <xf numFmtId="38" fontId="12" fillId="0" borderId="0" xfId="4" applyFont="1" applyFill="1" applyBorder="1" applyAlignment="1" applyProtection="1">
      <alignment horizontal="center" vertical="center" shrinkToFit="1"/>
      <protection hidden="1"/>
    </xf>
    <xf numFmtId="0" fontId="31" fillId="0" borderId="0" xfId="8" applyFont="1" applyAlignment="1" applyProtection="1">
      <alignment horizontal="center" vertical="center" shrinkToFit="1"/>
      <protection hidden="1"/>
    </xf>
    <xf numFmtId="38" fontId="31" fillId="0" borderId="0" xfId="4" applyFont="1" applyFill="1" applyBorder="1" applyAlignment="1" applyProtection="1">
      <alignment horizontal="center" vertical="center" shrinkToFit="1"/>
      <protection hidden="1"/>
    </xf>
    <xf numFmtId="38" fontId="12" fillId="0" borderId="8" xfId="4" applyFont="1" applyFill="1" applyBorder="1" applyAlignment="1" applyProtection="1">
      <alignment horizontal="center" vertical="center" shrinkToFit="1"/>
      <protection hidden="1"/>
    </xf>
    <xf numFmtId="0" fontId="12" fillId="0" borderId="8" xfId="8" applyFont="1" applyBorder="1" applyAlignment="1" applyProtection="1">
      <alignment horizontal="center" vertical="center" shrinkToFit="1"/>
      <protection hidden="1"/>
    </xf>
    <xf numFmtId="0" fontId="12" fillId="0" borderId="30" xfId="8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vertical="center" wrapText="1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194" fontId="12" fillId="0" borderId="30" xfId="8" applyNumberFormat="1" applyFont="1" applyBorder="1" applyAlignment="1" applyProtection="1">
      <alignment horizontal="center" vertical="center"/>
      <protection hidden="1"/>
    </xf>
    <xf numFmtId="0" fontId="12" fillId="0" borderId="13" xfId="8" applyFont="1" applyBorder="1" applyAlignment="1" applyProtection="1">
      <alignment horizontal="center" vertical="center" shrinkToFit="1"/>
      <protection hidden="1"/>
    </xf>
    <xf numFmtId="0" fontId="17" fillId="0" borderId="13" xfId="8" applyFont="1" applyBorder="1" applyAlignment="1" applyProtection="1">
      <alignment horizontal="center" vertical="center" wrapText="1" shrinkToFit="1"/>
      <protection hidden="1"/>
    </xf>
    <xf numFmtId="1" fontId="12" fillId="0" borderId="13" xfId="8" applyNumberFormat="1" applyFont="1" applyBorder="1" applyAlignment="1" applyProtection="1">
      <alignment horizontal="center" vertical="center" shrinkToFit="1"/>
      <protection hidden="1"/>
    </xf>
    <xf numFmtId="1" fontId="12" fillId="0" borderId="0" xfId="8" applyNumberFormat="1" applyFont="1" applyAlignment="1" applyProtection="1">
      <alignment horizontal="center" vertical="center" shrinkToFit="1"/>
      <protection hidden="1"/>
    </xf>
    <xf numFmtId="179" fontId="12" fillId="0" borderId="29" xfId="8" applyNumberFormat="1" applyFont="1" applyBorder="1" applyAlignment="1" applyProtection="1">
      <alignment horizontal="center" vertical="center"/>
      <protection hidden="1"/>
    </xf>
    <xf numFmtId="179" fontId="12" fillId="0" borderId="30" xfId="8" applyNumberFormat="1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2" fillId="0" borderId="13" xfId="8" applyFont="1" applyBorder="1" applyAlignment="1" applyProtection="1">
      <alignment vertical="center"/>
      <protection hidden="1"/>
    </xf>
    <xf numFmtId="49" fontId="18" fillId="0" borderId="0" xfId="0" applyNumberFormat="1" applyFont="1" applyProtection="1">
      <alignment vertical="center"/>
      <protection hidden="1"/>
    </xf>
    <xf numFmtId="0" fontId="12" fillId="0" borderId="0" xfId="8" applyFont="1" applyAlignment="1" applyProtection="1">
      <alignment horizontal="center" vertical="center" shrinkToFit="1"/>
      <protection hidden="1"/>
    </xf>
    <xf numFmtId="187" fontId="12" fillId="0" borderId="0" xfId="8" applyNumberFormat="1" applyFont="1" applyAlignment="1" applyProtection="1">
      <alignment vertical="center" shrinkToFit="1"/>
      <protection hidden="1"/>
    </xf>
    <xf numFmtId="191" fontId="12" fillId="0" borderId="0" xfId="8" applyNumberFormat="1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83" fontId="16" fillId="0" borderId="0" xfId="8" applyNumberFormat="1" applyFont="1" applyAlignment="1" applyProtection="1">
      <alignment vertical="center"/>
      <protection hidden="1"/>
    </xf>
    <xf numFmtId="0" fontId="12" fillId="6" borderId="30" xfId="8" applyFont="1" applyFill="1" applyBorder="1" applyAlignment="1" applyProtection="1">
      <alignment vertical="center" shrinkToFit="1"/>
      <protection hidden="1"/>
    </xf>
    <xf numFmtId="180" fontId="12" fillId="0" borderId="0" xfId="8" applyNumberFormat="1" applyFont="1" applyAlignment="1" applyProtection="1">
      <alignment vertical="center"/>
      <protection hidden="1"/>
    </xf>
    <xf numFmtId="0" fontId="26" fillId="0" borderId="0" xfId="8" quotePrefix="1" applyFont="1" applyAlignment="1" applyProtection="1">
      <alignment horizontal="left" vertical="center" shrinkToFit="1"/>
      <protection hidden="1"/>
    </xf>
    <xf numFmtId="0" fontId="26" fillId="0" borderId="0" xfId="8" applyFont="1" applyAlignment="1" applyProtection="1">
      <alignment horizontal="left" vertical="center" shrinkToFit="1"/>
      <protection hidden="1"/>
    </xf>
    <xf numFmtId="192" fontId="12" fillId="0" borderId="30" xfId="8" applyNumberFormat="1" applyFont="1" applyBorder="1" applyAlignment="1" applyProtection="1">
      <alignment vertical="center" shrinkToFit="1"/>
      <protection hidden="1"/>
    </xf>
    <xf numFmtId="0" fontId="12" fillId="0" borderId="30" xfId="8" applyFont="1" applyBorder="1" applyAlignment="1" applyProtection="1">
      <alignment vertical="center" shrinkToFit="1"/>
      <protection hidden="1"/>
    </xf>
    <xf numFmtId="38" fontId="12" fillId="0" borderId="13" xfId="4" applyFont="1" applyFill="1" applyBorder="1" applyAlignment="1" applyProtection="1">
      <alignment horizontal="center" vertical="center" shrinkToFit="1"/>
      <protection hidden="1"/>
    </xf>
    <xf numFmtId="180" fontId="12" fillId="0" borderId="0" xfId="8" applyNumberFormat="1" applyFont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2" fillId="0" borderId="30" xfId="8" applyFont="1" applyBorder="1" applyAlignment="1" applyProtection="1">
      <alignment vertical="center"/>
      <protection hidden="1"/>
    </xf>
    <xf numFmtId="194" fontId="12" fillId="0" borderId="30" xfId="8" applyNumberFormat="1" applyFont="1" applyBorder="1" applyAlignment="1" applyProtection="1">
      <alignment vertical="center"/>
      <protection hidden="1"/>
    </xf>
    <xf numFmtId="0" fontId="2" fillId="0" borderId="30" xfId="0" applyFont="1" applyBorder="1" applyProtection="1">
      <alignment vertical="center"/>
      <protection hidden="1"/>
    </xf>
    <xf numFmtId="0" fontId="2" fillId="0" borderId="0" xfId="0" quotePrefix="1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36" fillId="0" borderId="0" xfId="8" applyFont="1" applyAlignment="1" applyProtection="1">
      <alignment vertical="center" shrinkToFit="1"/>
      <protection hidden="1"/>
    </xf>
    <xf numFmtId="0" fontId="17" fillId="0" borderId="0" xfId="8" applyFont="1" applyAlignment="1" applyProtection="1">
      <alignment vertical="center" shrinkToFit="1"/>
      <protection hidden="1"/>
    </xf>
    <xf numFmtId="184" fontId="12" fillId="0" borderId="0" xfId="8" applyNumberFormat="1" applyFont="1" applyAlignment="1" applyProtection="1">
      <alignment horizontal="center" vertical="center" shrinkToFit="1"/>
      <protection hidden="1"/>
    </xf>
    <xf numFmtId="191" fontId="12" fillId="0" borderId="0" xfId="8" applyNumberFormat="1" applyFont="1" applyAlignment="1" applyProtection="1">
      <alignment horizontal="right" vertical="center" shrinkToFit="1"/>
      <protection hidden="1"/>
    </xf>
    <xf numFmtId="0" fontId="40" fillId="0" borderId="0" xfId="8" applyFont="1" applyAlignment="1" applyProtection="1">
      <alignment horizontal="left" vertical="top" wrapText="1"/>
      <protection hidden="1"/>
    </xf>
    <xf numFmtId="0" fontId="12" fillId="0" borderId="19" xfId="8" applyFont="1" applyBorder="1" applyAlignment="1" applyProtection="1">
      <alignment horizontal="center" vertical="center" shrinkToFit="1"/>
      <protection hidden="1"/>
    </xf>
    <xf numFmtId="0" fontId="12" fillId="0" borderId="20" xfId="8" applyFont="1" applyBorder="1" applyAlignment="1" applyProtection="1">
      <alignment horizontal="center" vertical="center" shrinkToFit="1"/>
      <protection hidden="1"/>
    </xf>
    <xf numFmtId="0" fontId="30" fillId="0" borderId="0" xfId="8" applyFont="1" applyAlignment="1" applyProtection="1">
      <alignment horizontal="left" vertical="center" shrinkToFit="1"/>
      <protection hidden="1"/>
    </xf>
    <xf numFmtId="0" fontId="12" fillId="0" borderId="0" xfId="8" applyFont="1" applyAlignment="1" applyProtection="1">
      <alignment horizontal="left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179" fontId="12" fillId="0" borderId="52" xfId="8" applyNumberFormat="1" applyFont="1" applyBorder="1" applyAlignment="1" applyProtection="1">
      <alignment horizontal="center" vertical="center"/>
      <protection hidden="1"/>
    </xf>
    <xf numFmtId="179" fontId="12" fillId="0" borderId="53" xfId="8" applyNumberFormat="1" applyFont="1" applyBorder="1" applyAlignment="1" applyProtection="1">
      <alignment horizontal="center" vertical="center"/>
      <protection hidden="1"/>
    </xf>
    <xf numFmtId="0" fontId="12" fillId="0" borderId="54" xfId="8" applyFont="1" applyBorder="1" applyAlignment="1" applyProtection="1">
      <alignment horizontal="center" vertical="center"/>
      <protection hidden="1"/>
    </xf>
    <xf numFmtId="0" fontId="12" fillId="0" borderId="55" xfId="8" applyFont="1" applyBorder="1" applyAlignment="1" applyProtection="1">
      <alignment horizontal="center" vertical="center"/>
      <protection hidden="1"/>
    </xf>
    <xf numFmtId="0" fontId="12" fillId="6" borderId="1" xfId="8" applyFont="1" applyFill="1" applyBorder="1" applyAlignment="1" applyProtection="1">
      <alignment horizontal="center" vertical="center" shrinkToFit="1"/>
      <protection hidden="1"/>
    </xf>
    <xf numFmtId="193" fontId="12" fillId="2" borderId="22" xfId="4" applyNumberFormat="1" applyFont="1" applyFill="1" applyBorder="1" applyAlignment="1" applyProtection="1">
      <alignment horizontal="center" vertical="center" shrinkToFit="1"/>
      <protection locked="0" hidden="1"/>
    </xf>
    <xf numFmtId="193" fontId="12" fillId="2" borderId="23" xfId="4" applyNumberFormat="1" applyFont="1" applyFill="1" applyBorder="1" applyAlignment="1" applyProtection="1">
      <alignment horizontal="center" vertical="center" shrinkToFit="1"/>
      <protection locked="0" hidden="1"/>
    </xf>
    <xf numFmtId="0" fontId="12" fillId="2" borderId="40" xfId="8" applyFont="1" applyFill="1" applyBorder="1" applyAlignment="1" applyProtection="1">
      <alignment horizontal="center" vertical="center" shrinkToFit="1"/>
      <protection locked="0" hidden="1"/>
    </xf>
    <xf numFmtId="0" fontId="12" fillId="2" borderId="5" xfId="8" applyFont="1" applyFill="1" applyBorder="1" applyAlignment="1" applyProtection="1">
      <alignment horizontal="center" vertical="center" shrinkToFit="1"/>
      <protection locked="0" hidden="1"/>
    </xf>
    <xf numFmtId="0" fontId="12" fillId="2" borderId="6" xfId="8" applyFont="1" applyFill="1" applyBorder="1" applyAlignment="1" applyProtection="1">
      <alignment horizontal="center" vertical="center" shrinkToFit="1"/>
      <protection locked="0" hidden="1"/>
    </xf>
    <xf numFmtId="0" fontId="30" fillId="0" borderId="0" xfId="8" applyFont="1" applyAlignment="1" applyProtection="1">
      <alignment horizontal="left" vertical="center" shrinkToFit="1"/>
      <protection hidden="1"/>
    </xf>
    <xf numFmtId="0" fontId="29" fillId="0" borderId="0" xfId="8" applyFont="1" applyAlignment="1" applyProtection="1">
      <alignment horizontal="left" vertical="center"/>
      <protection hidden="1"/>
    </xf>
    <xf numFmtId="0" fontId="26" fillId="6" borderId="4" xfId="8" applyFont="1" applyFill="1" applyBorder="1" applyAlignment="1" applyProtection="1">
      <alignment horizontal="center" vertical="center" shrinkToFit="1"/>
      <protection hidden="1"/>
    </xf>
    <xf numFmtId="0" fontId="26" fillId="6" borderId="5" xfId="8" applyFont="1" applyFill="1" applyBorder="1" applyAlignment="1" applyProtection="1">
      <alignment horizontal="center" vertical="center" shrinkToFit="1"/>
      <protection hidden="1"/>
    </xf>
    <xf numFmtId="0" fontId="26" fillId="6" borderId="6" xfId="8" applyFont="1" applyFill="1" applyBorder="1" applyAlignment="1" applyProtection="1">
      <alignment horizontal="center" vertical="center" shrinkToFit="1"/>
      <protection hidden="1"/>
    </xf>
    <xf numFmtId="0" fontId="12" fillId="6" borderId="1" xfId="8" applyFont="1" applyFill="1" applyBorder="1" applyAlignment="1" applyProtection="1">
      <alignment horizontal="center" vertical="center" wrapText="1" shrinkToFit="1"/>
      <protection hidden="1"/>
    </xf>
    <xf numFmtId="0" fontId="12" fillId="2" borderId="4" xfId="8" applyFont="1" applyFill="1" applyBorder="1" applyAlignment="1" applyProtection="1">
      <alignment horizontal="left" vertical="center" shrinkToFit="1"/>
      <protection locked="0" hidden="1"/>
    </xf>
    <xf numFmtId="0" fontId="12" fillId="2" borderId="5" xfId="8" applyFont="1" applyFill="1" applyBorder="1" applyAlignment="1" applyProtection="1">
      <alignment horizontal="left" vertical="center" shrinkToFit="1"/>
      <protection locked="0" hidden="1"/>
    </xf>
    <xf numFmtId="182" fontId="12" fillId="0" borderId="40" xfId="8" applyNumberFormat="1" applyFont="1" applyBorder="1" applyAlignment="1" applyProtection="1">
      <alignment horizontal="center" vertical="center" shrinkToFit="1"/>
      <protection hidden="1"/>
    </xf>
    <xf numFmtId="182" fontId="12" fillId="0" borderId="5" xfId="8" applyNumberFormat="1" applyFont="1" applyBorder="1" applyAlignment="1" applyProtection="1">
      <alignment horizontal="center" vertical="center" shrinkToFit="1"/>
      <protection hidden="1"/>
    </xf>
    <xf numFmtId="182" fontId="12" fillId="0" borderId="6" xfId="8" applyNumberFormat="1" applyFont="1" applyBorder="1" applyAlignment="1" applyProtection="1">
      <alignment horizontal="center" vertical="center" shrinkToFit="1"/>
      <protection hidden="1"/>
    </xf>
    <xf numFmtId="197" fontId="12" fillId="2" borderId="4" xfId="8" applyNumberFormat="1" applyFont="1" applyFill="1" applyBorder="1" applyAlignment="1" applyProtection="1">
      <alignment horizontal="center" vertical="center" shrinkToFit="1"/>
      <protection locked="0" hidden="1"/>
    </xf>
    <xf numFmtId="197" fontId="12" fillId="2" borderId="5" xfId="8" applyNumberFormat="1" applyFont="1" applyFill="1" applyBorder="1" applyAlignment="1" applyProtection="1">
      <alignment horizontal="center" vertical="center" shrinkToFit="1"/>
      <protection locked="0" hidden="1"/>
    </xf>
    <xf numFmtId="197" fontId="12" fillId="2" borderId="41" xfId="8" applyNumberFormat="1" applyFont="1" applyFill="1" applyBorder="1" applyAlignment="1" applyProtection="1">
      <alignment horizontal="center" vertical="center" shrinkToFit="1"/>
      <protection locked="0" hidden="1"/>
    </xf>
    <xf numFmtId="196" fontId="36" fillId="0" borderId="39" xfId="8" applyNumberFormat="1" applyFont="1" applyBorder="1" applyAlignment="1" applyProtection="1">
      <alignment horizontal="left" vertical="center" wrapText="1" shrinkToFit="1"/>
      <protection hidden="1"/>
    </xf>
    <xf numFmtId="196" fontId="36" fillId="0" borderId="0" xfId="8" applyNumberFormat="1" applyFont="1" applyAlignment="1" applyProtection="1">
      <alignment horizontal="left" vertical="center" wrapText="1" shrinkToFit="1"/>
      <protection hidden="1"/>
    </xf>
    <xf numFmtId="0" fontId="12" fillId="6" borderId="12" xfId="8" applyFont="1" applyFill="1" applyBorder="1" applyAlignment="1" applyProtection="1">
      <alignment horizontal="center" vertical="center" shrinkToFit="1"/>
      <protection hidden="1"/>
    </xf>
    <xf numFmtId="0" fontId="12" fillId="6" borderId="13" xfId="8" applyFont="1" applyFill="1" applyBorder="1" applyAlignment="1" applyProtection="1">
      <alignment horizontal="center" vertical="center" shrinkToFit="1"/>
      <protection hidden="1"/>
    </xf>
    <xf numFmtId="0" fontId="12" fillId="6" borderId="15" xfId="8" applyFont="1" applyFill="1" applyBorder="1" applyAlignment="1" applyProtection="1">
      <alignment horizontal="center" vertical="center" shrinkToFit="1"/>
      <protection hidden="1"/>
    </xf>
    <xf numFmtId="0" fontId="12" fillId="6" borderId="19" xfId="8" applyFont="1" applyFill="1" applyBorder="1" applyAlignment="1" applyProtection="1">
      <alignment horizontal="center" vertical="center" shrinkToFit="1"/>
      <protection hidden="1"/>
    </xf>
    <xf numFmtId="0" fontId="12" fillId="6" borderId="21" xfId="8" applyFont="1" applyFill="1" applyBorder="1" applyAlignment="1" applyProtection="1">
      <alignment horizontal="center" vertical="center" shrinkToFit="1"/>
      <protection hidden="1"/>
    </xf>
    <xf numFmtId="187" fontId="12" fillId="0" borderId="19" xfId="8" applyNumberFormat="1" applyFont="1" applyBorder="1" applyAlignment="1" applyProtection="1">
      <alignment horizontal="right" vertical="center" shrinkToFit="1"/>
      <protection hidden="1"/>
    </xf>
    <xf numFmtId="187" fontId="12" fillId="0" borderId="20" xfId="8" applyNumberFormat="1" applyFont="1" applyBorder="1" applyAlignment="1" applyProtection="1">
      <alignment horizontal="right" vertical="center" shrinkToFit="1"/>
      <protection hidden="1"/>
    </xf>
    <xf numFmtId="187" fontId="12" fillId="0" borderId="21" xfId="8" applyNumberFormat="1" applyFont="1" applyBorder="1" applyAlignment="1" applyProtection="1">
      <alignment horizontal="right" vertical="center" shrinkToFit="1"/>
      <protection hidden="1"/>
    </xf>
    <xf numFmtId="0" fontId="12" fillId="0" borderId="19" xfId="8" applyFont="1" applyBorder="1" applyAlignment="1" applyProtection="1">
      <alignment horizontal="right" vertical="center" shrinkToFit="1"/>
      <protection hidden="1"/>
    </xf>
    <xf numFmtId="0" fontId="12" fillId="0" borderId="20" xfId="8" applyFont="1" applyBorder="1" applyAlignment="1" applyProtection="1">
      <alignment horizontal="right" vertical="center" shrinkToFit="1"/>
      <protection hidden="1"/>
    </xf>
    <xf numFmtId="0" fontId="12" fillId="0" borderId="21" xfId="8" applyFont="1" applyBorder="1" applyAlignment="1" applyProtection="1">
      <alignment horizontal="right" vertical="center" shrinkToFit="1"/>
      <protection hidden="1"/>
    </xf>
    <xf numFmtId="188" fontId="12" fillId="0" borderId="19" xfId="8" applyNumberFormat="1" applyFont="1" applyBorder="1" applyAlignment="1" applyProtection="1">
      <alignment horizontal="right" vertical="center" shrinkToFit="1"/>
      <protection hidden="1"/>
    </xf>
    <xf numFmtId="188" fontId="12" fillId="0" borderId="20" xfId="8" applyNumberFormat="1" applyFont="1" applyBorder="1" applyAlignment="1" applyProtection="1">
      <alignment horizontal="right" vertical="center" shrinkToFit="1"/>
      <protection hidden="1"/>
    </xf>
    <xf numFmtId="188" fontId="12" fillId="0" borderId="21" xfId="8" applyNumberFormat="1" applyFont="1" applyBorder="1" applyAlignment="1" applyProtection="1">
      <alignment horizontal="right" vertical="center" shrinkToFit="1"/>
      <protection hidden="1"/>
    </xf>
    <xf numFmtId="191" fontId="12" fillId="0" borderId="64" xfId="4" applyNumberFormat="1" applyFont="1" applyFill="1" applyBorder="1" applyAlignment="1" applyProtection="1">
      <alignment horizontal="right" shrinkToFit="1"/>
      <protection hidden="1"/>
    </xf>
    <xf numFmtId="191" fontId="12" fillId="0" borderId="46" xfId="4" applyNumberFormat="1" applyFont="1" applyFill="1" applyBorder="1" applyAlignment="1" applyProtection="1">
      <alignment horizontal="right" shrinkToFit="1"/>
      <protection hidden="1"/>
    </xf>
    <xf numFmtId="191" fontId="12" fillId="0" borderId="65" xfId="4" applyNumberFormat="1" applyFont="1" applyFill="1" applyBorder="1" applyAlignment="1" applyProtection="1">
      <alignment horizontal="right" shrinkToFit="1"/>
      <protection hidden="1"/>
    </xf>
    <xf numFmtId="191" fontId="26" fillId="0" borderId="37" xfId="4" applyNumberFormat="1" applyFont="1" applyBorder="1" applyAlignment="1" applyProtection="1">
      <alignment horizontal="right" vertical="center" shrinkToFit="1"/>
      <protection hidden="1"/>
    </xf>
    <xf numFmtId="191" fontId="26" fillId="0" borderId="5" xfId="4" applyNumberFormat="1" applyFont="1" applyBorder="1" applyAlignment="1" applyProtection="1">
      <alignment horizontal="right" vertical="center" shrinkToFit="1"/>
      <protection hidden="1"/>
    </xf>
    <xf numFmtId="191" fontId="26" fillId="0" borderId="38" xfId="4" applyNumberFormat="1" applyFont="1" applyBorder="1" applyAlignment="1" applyProtection="1">
      <alignment horizontal="right" vertical="center" shrinkToFit="1"/>
      <protection hidden="1"/>
    </xf>
    <xf numFmtId="193" fontId="12" fillId="0" borderId="39" xfId="4" applyNumberFormat="1" applyFont="1" applyFill="1" applyBorder="1" applyAlignment="1" applyProtection="1">
      <alignment horizontal="right" vertical="center" shrinkToFit="1"/>
      <protection hidden="1"/>
    </xf>
    <xf numFmtId="193" fontId="12" fillId="0" borderId="0" xfId="4" applyNumberFormat="1" applyFont="1" applyFill="1" applyBorder="1" applyAlignment="1" applyProtection="1">
      <alignment horizontal="right" vertical="center" shrinkToFit="1"/>
      <protection hidden="1"/>
    </xf>
    <xf numFmtId="178" fontId="12" fillId="6" borderId="14" xfId="8" applyNumberFormat="1" applyFont="1" applyFill="1" applyBorder="1" applyAlignment="1" applyProtection="1">
      <alignment horizontal="center" vertical="center" shrinkToFit="1"/>
      <protection hidden="1"/>
    </xf>
    <xf numFmtId="178" fontId="12" fillId="6" borderId="44" xfId="8" applyNumberFormat="1" applyFont="1" applyFill="1" applyBorder="1" applyAlignment="1" applyProtection="1">
      <alignment horizontal="center" vertical="center" shrinkToFit="1"/>
      <protection hidden="1"/>
    </xf>
    <xf numFmtId="0" fontId="12" fillId="2" borderId="14" xfId="0" applyFont="1" applyFill="1" applyBorder="1" applyAlignment="1" applyProtection="1">
      <alignment horizontal="center" vertical="center" shrinkToFit="1"/>
      <protection locked="0" hidden="1"/>
    </xf>
    <xf numFmtId="0" fontId="12" fillId="2" borderId="18" xfId="0" applyFont="1" applyFill="1" applyBorder="1" applyAlignment="1" applyProtection="1">
      <alignment horizontal="center" vertical="center" shrinkToFit="1"/>
      <protection locked="0" hidden="1"/>
    </xf>
    <xf numFmtId="0" fontId="12" fillId="2" borderId="44" xfId="0" applyFont="1" applyFill="1" applyBorder="1" applyAlignment="1" applyProtection="1">
      <alignment horizontal="center" vertical="center" shrinkToFit="1"/>
      <protection locked="0" hidden="1"/>
    </xf>
    <xf numFmtId="191" fontId="12" fillId="0" borderId="4" xfId="4" applyNumberFormat="1" applyFont="1" applyBorder="1" applyAlignment="1" applyProtection="1">
      <alignment horizontal="right" vertical="center" shrinkToFit="1"/>
      <protection hidden="1"/>
    </xf>
    <xf numFmtId="191" fontId="12" fillId="0" borderId="5" xfId="4" applyNumberFormat="1" applyFont="1" applyBorder="1" applyAlignment="1" applyProtection="1">
      <alignment horizontal="right" vertical="center" shrinkToFit="1"/>
      <protection hidden="1"/>
    </xf>
    <xf numFmtId="191" fontId="12" fillId="0" borderId="6" xfId="4" applyNumberFormat="1" applyFont="1" applyBorder="1" applyAlignment="1" applyProtection="1">
      <alignment horizontal="right" vertical="center" shrinkToFit="1"/>
      <protection hidden="1"/>
    </xf>
    <xf numFmtId="177" fontId="12" fillId="0" borderId="4" xfId="6" applyNumberFormat="1" applyFont="1" applyBorder="1" applyAlignment="1" applyProtection="1">
      <alignment horizontal="right" vertical="center" shrinkToFit="1"/>
      <protection locked="0" hidden="1"/>
    </xf>
    <xf numFmtId="177" fontId="12" fillId="0" borderId="5" xfId="6" applyNumberFormat="1" applyFont="1" applyBorder="1" applyAlignment="1" applyProtection="1">
      <alignment horizontal="right" vertical="center" shrinkToFit="1"/>
      <protection locked="0" hidden="1"/>
    </xf>
    <xf numFmtId="177" fontId="12" fillId="0" borderId="6" xfId="6" applyNumberFormat="1" applyFont="1" applyBorder="1" applyAlignment="1" applyProtection="1">
      <alignment horizontal="right" vertical="center" shrinkToFit="1"/>
      <protection locked="0" hidden="1"/>
    </xf>
    <xf numFmtId="188" fontId="12" fillId="0" borderId="4" xfId="8" applyNumberFormat="1" applyFont="1" applyBorder="1" applyAlignment="1" applyProtection="1">
      <alignment horizontal="right" vertical="center" shrinkToFit="1"/>
      <protection hidden="1"/>
    </xf>
    <xf numFmtId="188" fontId="12" fillId="0" borderId="5" xfId="8" applyNumberFormat="1" applyFont="1" applyBorder="1" applyAlignment="1" applyProtection="1">
      <alignment horizontal="right" vertical="center" shrinkToFit="1"/>
      <protection hidden="1"/>
    </xf>
    <xf numFmtId="188" fontId="12" fillId="0" borderId="6" xfId="8" applyNumberFormat="1" applyFont="1" applyBorder="1" applyAlignment="1" applyProtection="1">
      <alignment horizontal="right" vertical="center" shrinkToFit="1"/>
      <protection hidden="1"/>
    </xf>
    <xf numFmtId="188" fontId="12" fillId="2" borderId="14" xfId="4" applyNumberFormat="1" applyFont="1" applyFill="1" applyBorder="1" applyAlignment="1" applyProtection="1">
      <alignment horizontal="right" shrinkToFit="1"/>
      <protection locked="0" hidden="1"/>
    </xf>
    <xf numFmtId="188" fontId="12" fillId="2" borderId="18" xfId="4" applyNumberFormat="1" applyFont="1" applyFill="1" applyBorder="1" applyAlignment="1" applyProtection="1">
      <alignment horizontal="right" shrinkToFit="1"/>
      <protection locked="0" hidden="1"/>
    </xf>
    <xf numFmtId="178" fontId="12" fillId="6" borderId="4" xfId="8" applyNumberFormat="1" applyFont="1" applyFill="1" applyBorder="1" applyAlignment="1" applyProtection="1">
      <alignment horizontal="center" vertical="center" shrinkToFit="1"/>
      <protection hidden="1"/>
    </xf>
    <xf numFmtId="178" fontId="12" fillId="6" borderId="6" xfId="8" applyNumberFormat="1" applyFont="1" applyFill="1" applyBorder="1" applyAlignment="1" applyProtection="1">
      <alignment horizontal="center" vertical="center" shrinkToFit="1"/>
      <protection hidden="1"/>
    </xf>
    <xf numFmtId="0" fontId="12" fillId="2" borderId="4" xfId="0" applyFont="1" applyFill="1" applyBorder="1" applyAlignment="1" applyProtection="1">
      <alignment horizontal="center" vertical="center" shrinkToFit="1"/>
      <protection locked="0" hidden="1"/>
    </xf>
    <xf numFmtId="0" fontId="12" fillId="2" borderId="5" xfId="0" applyFont="1" applyFill="1" applyBorder="1" applyAlignment="1" applyProtection="1">
      <alignment horizontal="center" vertical="center" shrinkToFit="1"/>
      <protection locked="0" hidden="1"/>
    </xf>
    <xf numFmtId="0" fontId="12" fillId="2" borderId="6" xfId="0" applyFont="1" applyFill="1" applyBorder="1" applyAlignment="1" applyProtection="1">
      <alignment horizontal="center" vertical="center" shrinkToFit="1"/>
      <protection locked="0" hidden="1"/>
    </xf>
    <xf numFmtId="0" fontId="12" fillId="6" borderId="20" xfId="8" applyFont="1" applyFill="1" applyBorder="1" applyAlignment="1" applyProtection="1">
      <alignment horizontal="center" vertical="center" shrinkToFit="1"/>
      <protection hidden="1"/>
    </xf>
    <xf numFmtId="0" fontId="12" fillId="0" borderId="19" xfId="8" applyFont="1" applyBorder="1" applyAlignment="1" applyProtection="1">
      <alignment horizontal="center" vertical="center" shrinkToFit="1"/>
      <protection hidden="1"/>
    </xf>
    <xf numFmtId="0" fontId="12" fillId="0" borderId="20" xfId="8" applyFont="1" applyBorder="1" applyAlignment="1" applyProtection="1">
      <alignment horizontal="center" vertical="center" shrinkToFit="1"/>
      <protection hidden="1"/>
    </xf>
    <xf numFmtId="186" fontId="12" fillId="0" borderId="19" xfId="4" applyNumberFormat="1" applyFont="1" applyFill="1" applyBorder="1" applyAlignment="1" applyProtection="1">
      <alignment horizontal="right" shrinkToFit="1"/>
      <protection hidden="1"/>
    </xf>
    <xf numFmtId="186" fontId="12" fillId="0" borderId="20" xfId="4" applyNumberFormat="1" applyFont="1" applyFill="1" applyBorder="1" applyAlignment="1" applyProtection="1">
      <alignment horizontal="right" shrinkToFit="1"/>
      <protection hidden="1"/>
    </xf>
    <xf numFmtId="186" fontId="12" fillId="0" borderId="21" xfId="4" applyNumberFormat="1" applyFont="1" applyFill="1" applyBorder="1" applyAlignment="1" applyProtection="1">
      <alignment horizontal="right" shrinkToFit="1"/>
      <protection hidden="1"/>
    </xf>
    <xf numFmtId="191" fontId="12" fillId="0" borderId="61" xfId="4" applyNumberFormat="1" applyFont="1" applyBorder="1" applyAlignment="1" applyProtection="1">
      <alignment horizontal="right" vertical="center" shrinkToFit="1"/>
      <protection hidden="1"/>
    </xf>
    <xf numFmtId="191" fontId="12" fillId="0" borderId="62" xfId="4" applyNumberFormat="1" applyFont="1" applyBorder="1" applyAlignment="1" applyProtection="1">
      <alignment horizontal="right" vertical="center" shrinkToFit="1"/>
      <protection hidden="1"/>
    </xf>
    <xf numFmtId="191" fontId="12" fillId="0" borderId="63" xfId="4" applyNumberFormat="1" applyFont="1" applyBorder="1" applyAlignment="1" applyProtection="1">
      <alignment horizontal="right" vertical="center" shrinkToFit="1"/>
      <protection hidden="1"/>
    </xf>
    <xf numFmtId="190" fontId="12" fillId="0" borderId="0" xfId="4" applyNumberFormat="1" applyFont="1" applyFill="1" applyBorder="1" applyAlignment="1" applyProtection="1">
      <alignment horizontal="right" vertical="center" shrinkToFit="1"/>
      <protection hidden="1"/>
    </xf>
    <xf numFmtId="0" fontId="12" fillId="6" borderId="12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3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5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1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0" xfId="8" applyFont="1" applyFill="1" applyAlignment="1" applyProtection="1">
      <alignment horizontal="center" vertical="center" textRotation="255" shrinkToFit="1"/>
      <protection hidden="1"/>
    </xf>
    <xf numFmtId="0" fontId="12" fillId="6" borderId="7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6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8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7" xfId="8" applyFont="1" applyFill="1" applyBorder="1" applyAlignment="1" applyProtection="1">
      <alignment horizontal="center" vertical="center" textRotation="255" shrinkToFit="1"/>
      <protection hidden="1"/>
    </xf>
    <xf numFmtId="0" fontId="12" fillId="6" borderId="16" xfId="8" applyFont="1" applyFill="1" applyBorder="1" applyAlignment="1" applyProtection="1">
      <alignment horizontal="center" vertical="center" shrinkToFit="1"/>
      <protection hidden="1"/>
    </xf>
    <xf numFmtId="0" fontId="12" fillId="6" borderId="17" xfId="8" applyFont="1" applyFill="1" applyBorder="1" applyAlignment="1" applyProtection="1">
      <alignment horizontal="center" vertical="center" shrinkToFit="1"/>
      <protection hidden="1"/>
    </xf>
    <xf numFmtId="0" fontId="12" fillId="6" borderId="8" xfId="8" applyFont="1" applyFill="1" applyBorder="1" applyAlignment="1" applyProtection="1">
      <alignment horizontal="center" vertical="center" shrinkToFit="1"/>
      <protection hidden="1"/>
    </xf>
    <xf numFmtId="187" fontId="12" fillId="6" borderId="12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3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5" xfId="8" applyNumberFormat="1" applyFont="1" applyFill="1" applyBorder="1" applyAlignment="1" applyProtection="1">
      <alignment horizontal="center" vertical="center" shrinkToFit="1"/>
      <protection hidden="1"/>
    </xf>
    <xf numFmtId="191" fontId="12" fillId="6" borderId="12" xfId="8" applyNumberFormat="1" applyFont="1" applyFill="1" applyBorder="1" applyAlignment="1" applyProtection="1">
      <alignment horizontal="center" vertical="center" shrinkToFit="1"/>
      <protection hidden="1"/>
    </xf>
    <xf numFmtId="191" fontId="12" fillId="6" borderId="13" xfId="8" applyNumberFormat="1" applyFont="1" applyFill="1" applyBorder="1" applyAlignment="1" applyProtection="1">
      <alignment horizontal="center" vertical="center" shrinkToFit="1"/>
      <protection hidden="1"/>
    </xf>
    <xf numFmtId="191" fontId="12" fillId="6" borderId="15" xfId="8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8" applyFont="1" applyAlignment="1" applyProtection="1">
      <alignment horizontal="center" vertical="center" shrinkToFit="1"/>
      <protection hidden="1"/>
    </xf>
    <xf numFmtId="187" fontId="12" fillId="6" borderId="16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8" xfId="8" applyNumberFormat="1" applyFont="1" applyFill="1" applyBorder="1" applyAlignment="1" applyProtection="1">
      <alignment horizontal="center" vertical="center" shrinkToFit="1"/>
      <protection hidden="1"/>
    </xf>
    <xf numFmtId="187" fontId="12" fillId="6" borderId="17" xfId="8" applyNumberFormat="1" applyFont="1" applyFill="1" applyBorder="1" applyAlignment="1" applyProtection="1">
      <alignment horizontal="center" vertical="center" shrinkToFit="1"/>
      <protection hidden="1"/>
    </xf>
    <xf numFmtId="191" fontId="12" fillId="6" borderId="11" xfId="8" applyNumberFormat="1" applyFont="1" applyFill="1" applyBorder="1" applyAlignment="1" applyProtection="1">
      <alignment horizontal="center" vertical="center" shrinkToFit="1"/>
      <protection hidden="1"/>
    </xf>
    <xf numFmtId="191" fontId="12" fillId="6" borderId="0" xfId="8" applyNumberFormat="1" applyFont="1" applyFill="1" applyAlignment="1" applyProtection="1">
      <alignment horizontal="center" vertical="center" shrinkToFit="1"/>
      <protection hidden="1"/>
    </xf>
    <xf numFmtId="191" fontId="12" fillId="6" borderId="7" xfId="8" applyNumberFormat="1" applyFont="1" applyFill="1" applyBorder="1" applyAlignment="1" applyProtection="1">
      <alignment horizontal="center" vertical="center" shrinkToFit="1"/>
      <protection hidden="1"/>
    </xf>
    <xf numFmtId="184" fontId="12" fillId="0" borderId="0" xfId="8" applyNumberFormat="1" applyFont="1" applyAlignment="1" applyProtection="1">
      <alignment horizontal="center" vertical="center" shrinkToFit="1"/>
      <protection hidden="1"/>
    </xf>
    <xf numFmtId="178" fontId="12" fillId="6" borderId="5" xfId="8" applyNumberFormat="1" applyFont="1" applyFill="1" applyBorder="1" applyAlignment="1" applyProtection="1">
      <alignment horizontal="center" vertical="center" shrinkToFit="1"/>
      <protection hidden="1"/>
    </xf>
    <xf numFmtId="0" fontId="12" fillId="0" borderId="4" xfId="0" applyFont="1" applyBorder="1" applyAlignment="1" applyProtection="1">
      <alignment horizontal="center" vertical="center" shrinkToFit="1"/>
      <protection hidden="1"/>
    </xf>
    <xf numFmtId="0" fontId="12" fillId="0" borderId="5" xfId="0" applyFont="1" applyBorder="1" applyAlignment="1" applyProtection="1">
      <alignment horizontal="center" vertical="center" shrinkToFit="1"/>
      <protection hidden="1"/>
    </xf>
    <xf numFmtId="195" fontId="12" fillId="0" borderId="4" xfId="8" applyNumberFormat="1" applyFont="1" applyBorder="1" applyAlignment="1" applyProtection="1">
      <alignment horizontal="right" vertical="center" shrinkToFit="1"/>
      <protection hidden="1"/>
    </xf>
    <xf numFmtId="195" fontId="12" fillId="0" borderId="5" xfId="8" applyNumberFormat="1" applyFont="1" applyBorder="1" applyAlignment="1" applyProtection="1">
      <alignment horizontal="right" vertical="center" shrinkToFit="1"/>
      <protection hidden="1"/>
    </xf>
    <xf numFmtId="195" fontId="12" fillId="0" borderId="6" xfId="8" applyNumberFormat="1" applyFont="1" applyBorder="1" applyAlignment="1" applyProtection="1">
      <alignment horizontal="right" vertical="center" shrinkToFit="1"/>
      <protection hidden="1"/>
    </xf>
    <xf numFmtId="188" fontId="12" fillId="0" borderId="12" xfId="4" applyNumberFormat="1" applyFont="1" applyFill="1" applyBorder="1" applyAlignment="1" applyProtection="1">
      <alignment horizontal="right" shrinkToFit="1"/>
      <protection hidden="1"/>
    </xf>
    <xf numFmtId="188" fontId="12" fillId="0" borderId="13" xfId="4" applyNumberFormat="1" applyFont="1" applyFill="1" applyBorder="1" applyAlignment="1" applyProtection="1">
      <alignment horizontal="right" shrinkToFit="1"/>
      <protection hidden="1"/>
    </xf>
    <xf numFmtId="191" fontId="12" fillId="0" borderId="59" xfId="4" applyNumberFormat="1" applyFont="1" applyBorder="1" applyAlignment="1" applyProtection="1">
      <alignment horizontal="right" vertical="center" shrinkToFit="1"/>
      <protection hidden="1"/>
    </xf>
    <xf numFmtId="191" fontId="12" fillId="0" borderId="13" xfId="4" applyNumberFormat="1" applyFont="1" applyBorder="1" applyAlignment="1" applyProtection="1">
      <alignment horizontal="right" vertical="center" shrinkToFit="1"/>
      <protection hidden="1"/>
    </xf>
    <xf numFmtId="191" fontId="12" fillId="0" borderId="60" xfId="4" applyNumberFormat="1" applyFont="1" applyBorder="1" applyAlignment="1" applyProtection="1">
      <alignment horizontal="right" vertical="center" shrinkToFit="1"/>
      <protection hidden="1"/>
    </xf>
    <xf numFmtId="185" fontId="12" fillId="0" borderId="0" xfId="8" applyNumberFormat="1" applyFont="1" applyAlignment="1" applyProtection="1">
      <alignment horizontal="right" vertical="center" shrinkToFit="1"/>
      <protection hidden="1"/>
    </xf>
    <xf numFmtId="188" fontId="12" fillId="0" borderId="4" xfId="4" applyNumberFormat="1" applyFont="1" applyFill="1" applyBorder="1" applyAlignment="1" applyProtection="1">
      <alignment horizontal="right" shrinkToFit="1"/>
      <protection hidden="1"/>
    </xf>
    <xf numFmtId="188" fontId="12" fillId="0" borderId="5" xfId="4" applyNumberFormat="1" applyFont="1" applyFill="1" applyBorder="1" applyAlignment="1" applyProtection="1">
      <alignment horizontal="right" shrinkToFit="1"/>
      <protection hidden="1"/>
    </xf>
    <xf numFmtId="191" fontId="12" fillId="0" borderId="37" xfId="4" applyNumberFormat="1" applyFont="1" applyBorder="1" applyAlignment="1" applyProtection="1">
      <alignment horizontal="right" vertical="center" shrinkToFit="1"/>
      <protection hidden="1"/>
    </xf>
    <xf numFmtId="191" fontId="12" fillId="0" borderId="38" xfId="4" applyNumberFormat="1" applyFont="1" applyBorder="1" applyAlignment="1" applyProtection="1">
      <alignment horizontal="right" vertical="center" shrinkToFit="1"/>
      <protection hidden="1"/>
    </xf>
    <xf numFmtId="0" fontId="40" fillId="0" borderId="0" xfId="8" applyFont="1" applyAlignment="1" applyProtection="1">
      <alignment horizontal="left" vertical="top" wrapText="1"/>
      <protection hidden="1"/>
    </xf>
    <xf numFmtId="191" fontId="12" fillId="0" borderId="34" xfId="4" applyNumberFormat="1" applyFont="1" applyBorder="1" applyAlignment="1" applyProtection="1">
      <alignment horizontal="right" vertical="center" shrinkToFit="1"/>
      <protection hidden="1"/>
    </xf>
    <xf numFmtId="191" fontId="12" fillId="0" borderId="35" xfId="4" applyNumberFormat="1" applyFont="1" applyBorder="1" applyAlignment="1" applyProtection="1">
      <alignment horizontal="right" vertical="center" shrinkToFit="1"/>
      <protection hidden="1"/>
    </xf>
    <xf numFmtId="191" fontId="12" fillId="0" borderId="36" xfId="4" applyNumberFormat="1" applyFont="1" applyBorder="1" applyAlignment="1" applyProtection="1">
      <alignment horizontal="right" vertical="center" shrinkToFit="1"/>
      <protection hidden="1"/>
    </xf>
    <xf numFmtId="188" fontId="12" fillId="2" borderId="4" xfId="4" applyNumberFormat="1" applyFont="1" applyFill="1" applyBorder="1" applyAlignment="1" applyProtection="1">
      <alignment horizontal="right" shrinkToFit="1"/>
      <protection locked="0" hidden="1"/>
    </xf>
    <xf numFmtId="188" fontId="12" fillId="2" borderId="5" xfId="4" applyNumberFormat="1" applyFont="1" applyFill="1" applyBorder="1" applyAlignment="1" applyProtection="1">
      <alignment horizontal="right" shrinkToFit="1"/>
      <protection locked="0" hidden="1"/>
    </xf>
    <xf numFmtId="191" fontId="12" fillId="0" borderId="5" xfId="8" applyNumberFormat="1" applyFont="1" applyBorder="1" applyAlignment="1" applyProtection="1">
      <alignment horizontal="right" vertical="center" shrinkToFit="1"/>
      <protection hidden="1"/>
    </xf>
    <xf numFmtId="191" fontId="12" fillId="0" borderId="38" xfId="8" applyNumberFormat="1" applyFont="1" applyBorder="1" applyAlignment="1" applyProtection="1">
      <alignment horizontal="right" vertical="center" shrinkToFit="1"/>
      <protection hidden="1"/>
    </xf>
    <xf numFmtId="191" fontId="12" fillId="0" borderId="18" xfId="8" applyNumberFormat="1" applyFont="1" applyBorder="1" applyAlignment="1" applyProtection="1">
      <alignment horizontal="right" vertical="center" shrinkToFit="1"/>
      <protection hidden="1"/>
    </xf>
    <xf numFmtId="191" fontId="12" fillId="0" borderId="43" xfId="8" applyNumberFormat="1" applyFont="1" applyBorder="1" applyAlignment="1" applyProtection="1">
      <alignment horizontal="right" vertical="center" shrinkToFit="1"/>
      <protection hidden="1"/>
    </xf>
    <xf numFmtId="191" fontId="12" fillId="0" borderId="49" xfId="8" applyNumberFormat="1" applyFont="1" applyBorder="1" applyAlignment="1" applyProtection="1">
      <alignment horizontal="right" vertical="center" shrinkToFit="1"/>
      <protection hidden="1"/>
    </xf>
    <xf numFmtId="191" fontId="12" fillId="0" borderId="50" xfId="8" applyNumberFormat="1" applyFont="1" applyBorder="1" applyAlignment="1" applyProtection="1">
      <alignment horizontal="right" vertical="center" shrinkToFit="1"/>
      <protection hidden="1"/>
    </xf>
    <xf numFmtId="191" fontId="26" fillId="0" borderId="48" xfId="4" applyNumberFormat="1" applyFont="1" applyBorder="1" applyAlignment="1" applyProtection="1">
      <alignment horizontal="right" vertical="center" shrinkToFit="1"/>
      <protection hidden="1"/>
    </xf>
    <xf numFmtId="191" fontId="26" fillId="0" borderId="18" xfId="4" applyNumberFormat="1" applyFont="1" applyBorder="1" applyAlignment="1" applyProtection="1">
      <alignment horizontal="right" vertical="center" shrinkToFit="1"/>
      <protection hidden="1"/>
    </xf>
    <xf numFmtId="191" fontId="26" fillId="0" borderId="43" xfId="4" applyNumberFormat="1" applyFont="1" applyBorder="1" applyAlignment="1" applyProtection="1">
      <alignment horizontal="right" vertical="center" shrinkToFit="1"/>
      <protection hidden="1"/>
    </xf>
    <xf numFmtId="181" fontId="12" fillId="6" borderId="12" xfId="8" applyNumberFormat="1" applyFont="1" applyFill="1" applyBorder="1" applyAlignment="1" applyProtection="1">
      <alignment horizontal="center" vertical="center" wrapText="1" shrinkToFit="1"/>
      <protection hidden="1"/>
    </xf>
    <xf numFmtId="181" fontId="12" fillId="6" borderId="13" xfId="8" applyNumberFormat="1" applyFont="1" applyFill="1" applyBorder="1" applyAlignment="1" applyProtection="1">
      <alignment horizontal="center" vertical="center" wrapText="1" shrinkToFit="1"/>
      <protection hidden="1"/>
    </xf>
    <xf numFmtId="181" fontId="12" fillId="6" borderId="15" xfId="8" applyNumberFormat="1" applyFont="1" applyFill="1" applyBorder="1" applyAlignment="1" applyProtection="1">
      <alignment horizontal="center" vertical="center" wrapText="1" shrinkToFit="1"/>
      <protection hidden="1"/>
    </xf>
    <xf numFmtId="0" fontId="12" fillId="6" borderId="12" xfId="8" applyFont="1" applyFill="1" applyBorder="1" applyAlignment="1" applyProtection="1">
      <alignment horizontal="center" vertical="center" wrapText="1" shrinkToFit="1"/>
      <protection hidden="1"/>
    </xf>
    <xf numFmtId="0" fontId="12" fillId="6" borderId="13" xfId="8" applyFont="1" applyFill="1" applyBorder="1" applyAlignment="1" applyProtection="1">
      <alignment horizontal="center" vertical="center" wrapText="1" shrinkToFit="1"/>
      <protection hidden="1"/>
    </xf>
    <xf numFmtId="0" fontId="12" fillId="6" borderId="15" xfId="8" applyFont="1" applyFill="1" applyBorder="1" applyAlignment="1" applyProtection="1">
      <alignment horizontal="center" vertical="center" wrapText="1" shrinkToFit="1"/>
      <protection hidden="1"/>
    </xf>
    <xf numFmtId="0" fontId="25" fillId="0" borderId="0" xfId="8" applyFont="1" applyAlignment="1" applyProtection="1">
      <alignment horizontal="center" vertical="center" shrinkToFit="1"/>
      <protection hidden="1"/>
    </xf>
    <xf numFmtId="181" fontId="12" fillId="6" borderId="16" xfId="8" applyNumberFormat="1" applyFont="1" applyFill="1" applyBorder="1" applyAlignment="1" applyProtection="1">
      <alignment horizontal="center" vertical="center" shrinkToFit="1"/>
      <protection hidden="1"/>
    </xf>
    <xf numFmtId="181" fontId="12" fillId="6" borderId="8" xfId="8" applyNumberFormat="1" applyFont="1" applyFill="1" applyBorder="1" applyAlignment="1" applyProtection="1">
      <alignment horizontal="center" vertical="center" shrinkToFit="1"/>
      <protection hidden="1"/>
    </xf>
    <xf numFmtId="181" fontId="12" fillId="6" borderId="17" xfId="8" applyNumberFormat="1" applyFont="1" applyFill="1" applyBorder="1" applyAlignment="1" applyProtection="1">
      <alignment horizontal="center" vertical="center" shrinkToFit="1"/>
      <protection hidden="1"/>
    </xf>
    <xf numFmtId="184" fontId="12" fillId="6" borderId="16" xfId="8" applyNumberFormat="1" applyFont="1" applyFill="1" applyBorder="1" applyAlignment="1" applyProtection="1">
      <alignment horizontal="center" vertical="center" shrinkToFit="1"/>
      <protection hidden="1"/>
    </xf>
    <xf numFmtId="184" fontId="12" fillId="6" borderId="8" xfId="8" applyNumberFormat="1" applyFont="1" applyFill="1" applyBorder="1" applyAlignment="1" applyProtection="1">
      <alignment horizontal="center" vertical="center" shrinkToFit="1"/>
      <protection hidden="1"/>
    </xf>
    <xf numFmtId="184" fontId="12" fillId="6" borderId="17" xfId="8" applyNumberFormat="1" applyFont="1" applyFill="1" applyBorder="1" applyAlignment="1" applyProtection="1">
      <alignment horizontal="center" vertical="center" shrinkToFit="1"/>
      <protection hidden="1"/>
    </xf>
    <xf numFmtId="0" fontId="12" fillId="6" borderId="45" xfId="8" applyFont="1" applyFill="1" applyBorder="1" applyAlignment="1" applyProtection="1">
      <alignment horizontal="center" vertical="center" shrinkToFit="1"/>
      <protection hidden="1"/>
    </xf>
    <xf numFmtId="0" fontId="12" fillId="6" borderId="46" xfId="8" applyFont="1" applyFill="1" applyBorder="1" applyAlignment="1" applyProtection="1">
      <alignment horizontal="center" vertical="center" shrinkToFit="1"/>
      <protection hidden="1"/>
    </xf>
    <xf numFmtId="0" fontId="12" fillId="6" borderId="47" xfId="8" applyFont="1" applyFill="1" applyBorder="1" applyAlignment="1" applyProtection="1">
      <alignment horizontal="center" vertical="center" shrinkToFit="1"/>
      <protection hidden="1"/>
    </xf>
    <xf numFmtId="191" fontId="26" fillId="0" borderId="34" xfId="4" applyNumberFormat="1" applyFont="1" applyBorder="1" applyAlignment="1" applyProtection="1">
      <alignment horizontal="right" vertical="center" shrinkToFit="1"/>
      <protection hidden="1"/>
    </xf>
    <xf numFmtId="191" fontId="26" fillId="0" borderId="35" xfId="4" applyNumberFormat="1" applyFont="1" applyBorder="1" applyAlignment="1" applyProtection="1">
      <alignment horizontal="right" vertical="center" shrinkToFit="1"/>
      <protection hidden="1"/>
    </xf>
    <xf numFmtId="191" fontId="26" fillId="0" borderId="36" xfId="4" applyNumberFormat="1" applyFont="1" applyBorder="1" applyAlignment="1" applyProtection="1">
      <alignment horizontal="right" vertical="center" shrinkToFit="1"/>
      <protection hidden="1"/>
    </xf>
    <xf numFmtId="0" fontId="17" fillId="6" borderId="1" xfId="8" applyFont="1" applyFill="1" applyBorder="1" applyAlignment="1" applyProtection="1">
      <alignment horizontal="center" vertical="center" shrinkToFit="1"/>
      <protection hidden="1"/>
    </xf>
    <xf numFmtId="1" fontId="12" fillId="2" borderId="4" xfId="8" applyNumberFormat="1" applyFont="1" applyFill="1" applyBorder="1" applyAlignment="1" applyProtection="1">
      <alignment horizontal="left" vertical="center" shrinkToFit="1"/>
      <protection locked="0" hidden="1"/>
    </xf>
    <xf numFmtId="1" fontId="12" fillId="2" borderId="5" xfId="8" applyNumberFormat="1" applyFont="1" applyFill="1" applyBorder="1" applyAlignment="1" applyProtection="1">
      <alignment horizontal="left" vertical="center" shrinkToFit="1"/>
      <protection locked="0" hidden="1"/>
    </xf>
    <xf numFmtId="1" fontId="12" fillId="2" borderId="6" xfId="8" applyNumberFormat="1" applyFont="1" applyFill="1" applyBorder="1" applyAlignment="1" applyProtection="1">
      <alignment horizontal="left" vertical="center" shrinkToFit="1"/>
      <protection locked="0" hidden="1"/>
    </xf>
    <xf numFmtId="0" fontId="32" fillId="6" borderId="1" xfId="8" applyFont="1" applyFill="1" applyBorder="1" applyAlignment="1" applyProtection="1">
      <alignment horizontal="center" vertical="center" wrapText="1" shrinkToFit="1"/>
      <protection hidden="1"/>
    </xf>
    <xf numFmtId="0" fontId="32" fillId="6" borderId="1" xfId="8" applyFont="1" applyFill="1" applyBorder="1" applyAlignment="1" applyProtection="1">
      <alignment horizontal="center" vertical="center" shrinkToFit="1"/>
      <protection hidden="1"/>
    </xf>
    <xf numFmtId="1" fontId="12" fillId="2" borderId="22" xfId="8" applyNumberFormat="1" applyFont="1" applyFill="1" applyBorder="1" applyAlignment="1" applyProtection="1">
      <alignment horizontal="center" vertical="center" shrinkToFit="1"/>
      <protection locked="0" hidden="1"/>
    </xf>
    <xf numFmtId="1" fontId="12" fillId="2" borderId="23" xfId="8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23" xfId="8" applyFont="1" applyBorder="1" applyAlignment="1" applyProtection="1">
      <alignment horizontal="center" vertical="center" shrinkToFit="1"/>
      <protection hidden="1"/>
    </xf>
    <xf numFmtId="0" fontId="12" fillId="0" borderId="24" xfId="8" applyFont="1" applyBorder="1" applyAlignment="1" applyProtection="1">
      <alignment horizontal="center" vertical="center" shrinkToFit="1"/>
      <protection hidden="1"/>
    </xf>
    <xf numFmtId="0" fontId="12" fillId="2" borderId="6" xfId="8" applyFont="1" applyFill="1" applyBorder="1" applyAlignment="1" applyProtection="1">
      <alignment horizontal="left" vertical="center" shrinkToFit="1"/>
      <protection locked="0" hidden="1"/>
    </xf>
    <xf numFmtId="180" fontId="12" fillId="2" borderId="4" xfId="8" applyNumberFormat="1" applyFont="1" applyFill="1" applyBorder="1" applyAlignment="1" applyProtection="1">
      <alignment horizontal="left" vertical="center" shrinkToFit="1"/>
      <protection locked="0" hidden="1"/>
    </xf>
    <xf numFmtId="180" fontId="12" fillId="2" borderId="5" xfId="8" applyNumberFormat="1" applyFont="1" applyFill="1" applyBorder="1" applyAlignment="1" applyProtection="1">
      <alignment horizontal="left" vertical="center" shrinkToFit="1"/>
      <protection locked="0" hidden="1"/>
    </xf>
    <xf numFmtId="0" fontId="12" fillId="6" borderId="4" xfId="8" applyFont="1" applyFill="1" applyBorder="1" applyAlignment="1" applyProtection="1">
      <alignment horizontal="center" vertical="center" shrinkToFit="1"/>
      <protection hidden="1"/>
    </xf>
    <xf numFmtId="0" fontId="12" fillId="6" borderId="5" xfId="8" applyFont="1" applyFill="1" applyBorder="1" applyAlignment="1" applyProtection="1">
      <alignment horizontal="center" vertical="center" shrinkToFit="1"/>
      <protection hidden="1"/>
    </xf>
    <xf numFmtId="0" fontId="12" fillId="6" borderId="6" xfId="8" applyFont="1" applyFill="1" applyBorder="1" applyAlignment="1" applyProtection="1">
      <alignment horizontal="center" vertical="center" shrinkToFit="1"/>
      <protection hidden="1"/>
    </xf>
    <xf numFmtId="0" fontId="41" fillId="6" borderId="12" xfId="8" applyFont="1" applyFill="1" applyBorder="1" applyAlignment="1" applyProtection="1">
      <alignment horizontal="center" vertical="center" wrapText="1" shrinkToFit="1"/>
      <protection hidden="1"/>
    </xf>
    <xf numFmtId="0" fontId="41" fillId="6" borderId="13" xfId="8" applyFont="1" applyFill="1" applyBorder="1" applyAlignment="1" applyProtection="1">
      <alignment horizontal="center" vertical="center" shrinkToFit="1"/>
      <protection hidden="1"/>
    </xf>
    <xf numFmtId="0" fontId="41" fillId="6" borderId="15" xfId="8" applyFont="1" applyFill="1" applyBorder="1" applyAlignment="1" applyProtection="1">
      <alignment horizontal="center" vertical="center" shrinkToFit="1"/>
      <protection hidden="1"/>
    </xf>
    <xf numFmtId="0" fontId="41" fillId="6" borderId="16" xfId="8" applyFont="1" applyFill="1" applyBorder="1" applyAlignment="1" applyProtection="1">
      <alignment horizontal="center" vertical="center" shrinkToFit="1"/>
      <protection hidden="1"/>
    </xf>
    <xf numFmtId="0" fontId="41" fillId="6" borderId="8" xfId="8" applyFont="1" applyFill="1" applyBorder="1" applyAlignment="1" applyProtection="1">
      <alignment horizontal="center" vertical="center" shrinkToFit="1"/>
      <protection hidden="1"/>
    </xf>
    <xf numFmtId="0" fontId="41" fillId="6" borderId="17" xfId="8" applyFont="1" applyFill="1" applyBorder="1" applyAlignment="1" applyProtection="1">
      <alignment horizontal="center" vertical="center" shrinkToFit="1"/>
      <protection hidden="1"/>
    </xf>
    <xf numFmtId="0" fontId="33" fillId="0" borderId="0" xfId="8" applyFont="1" applyAlignment="1" applyProtection="1">
      <alignment horizontal="center" vertical="center"/>
      <protection hidden="1"/>
    </xf>
    <xf numFmtId="0" fontId="12" fillId="2" borderId="4" xfId="8" applyFont="1" applyFill="1" applyBorder="1" applyAlignment="1" applyProtection="1">
      <alignment horizontal="center" vertical="center"/>
      <protection hidden="1"/>
    </xf>
    <xf numFmtId="0" fontId="12" fillId="2" borderId="5" xfId="8" applyFont="1" applyFill="1" applyBorder="1" applyAlignment="1" applyProtection="1">
      <alignment horizontal="center" vertical="center"/>
      <protection hidden="1"/>
    </xf>
    <xf numFmtId="0" fontId="12" fillId="2" borderId="6" xfId="8" applyFont="1" applyFill="1" applyBorder="1" applyAlignment="1" applyProtection="1">
      <alignment horizontal="center" vertical="center"/>
      <protection hidden="1"/>
    </xf>
    <xf numFmtId="0" fontId="12" fillId="0" borderId="11" xfId="8" applyFont="1" applyBorder="1" applyAlignment="1" applyProtection="1">
      <alignment horizontal="left" vertical="center"/>
      <protection hidden="1"/>
    </xf>
    <xf numFmtId="0" fontId="12" fillId="0" borderId="0" xfId="8" applyFont="1" applyAlignment="1" applyProtection="1">
      <alignment horizontal="left" vertical="center"/>
      <protection hidden="1"/>
    </xf>
    <xf numFmtId="0" fontId="34" fillId="0" borderId="0" xfId="8" quotePrefix="1" applyFont="1" applyAlignment="1" applyProtection="1">
      <alignment horizontal="center" vertical="center"/>
      <protection hidden="1"/>
    </xf>
    <xf numFmtId="0" fontId="12" fillId="2" borderId="4" xfId="8" applyFont="1" applyFill="1" applyBorder="1" applyAlignment="1" applyProtection="1">
      <alignment horizontal="left" vertical="center" wrapText="1"/>
      <protection locked="0" hidden="1"/>
    </xf>
    <xf numFmtId="0" fontId="12" fillId="2" borderId="5" xfId="8" applyFont="1" applyFill="1" applyBorder="1" applyAlignment="1" applyProtection="1">
      <alignment horizontal="left" vertical="center" wrapText="1"/>
      <protection locked="0" hidden="1"/>
    </xf>
    <xf numFmtId="0" fontId="12" fillId="2" borderId="6" xfId="8" applyFont="1" applyFill="1" applyBorder="1" applyAlignment="1" applyProtection="1">
      <alignment horizontal="left" vertical="center" wrapText="1"/>
      <protection locked="0" hidden="1"/>
    </xf>
    <xf numFmtId="0" fontId="12" fillId="0" borderId="4" xfId="8" applyFont="1" applyBorder="1" applyAlignment="1" applyProtection="1">
      <alignment horizontal="left" vertical="center" shrinkToFit="1"/>
      <protection hidden="1"/>
    </xf>
    <xf numFmtId="0" fontId="12" fillId="0" borderId="5" xfId="8" applyFont="1" applyBorder="1" applyAlignment="1" applyProtection="1">
      <alignment horizontal="left" vertical="center" shrinkToFit="1"/>
      <protection hidden="1"/>
    </xf>
    <xf numFmtId="0" fontId="12" fillId="0" borderId="6" xfId="8" applyFont="1" applyBorder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2" borderId="23" xfId="8" applyFont="1" applyFill="1" applyBorder="1" applyAlignment="1" applyProtection="1">
      <alignment horizontal="center" vertical="center" shrinkToFit="1"/>
      <protection locked="0" hidden="1"/>
    </xf>
    <xf numFmtId="0" fontId="12" fillId="2" borderId="24" xfId="8" applyFont="1" applyFill="1" applyBorder="1" applyAlignment="1" applyProtection="1">
      <alignment horizontal="center" vertical="center" shrinkToFit="1"/>
      <protection locked="0" hidden="1"/>
    </xf>
    <xf numFmtId="193" fontId="12" fillId="2" borderId="25" xfId="4" applyNumberFormat="1" applyFont="1" applyFill="1" applyBorder="1" applyAlignment="1" applyProtection="1">
      <alignment horizontal="center" vertical="center" shrinkToFit="1"/>
      <protection locked="0" hidden="1"/>
    </xf>
    <xf numFmtId="193" fontId="12" fillId="2" borderId="26" xfId="4" applyNumberFormat="1" applyFont="1" applyFill="1" applyBorder="1" applyAlignment="1" applyProtection="1">
      <alignment horizontal="center" vertical="center" shrinkToFit="1"/>
      <protection locked="0" hidden="1"/>
    </xf>
    <xf numFmtId="0" fontId="12" fillId="2" borderId="26" xfId="8" applyFont="1" applyFill="1" applyBorder="1" applyAlignment="1" applyProtection="1">
      <alignment horizontal="center" vertical="center" shrinkToFit="1"/>
      <protection locked="0" hidden="1"/>
    </xf>
    <xf numFmtId="0" fontId="12" fillId="2" borderId="28" xfId="8" applyFont="1" applyFill="1" applyBorder="1" applyAlignment="1" applyProtection="1">
      <alignment horizontal="center" vertical="center" shrinkToFit="1"/>
      <protection locked="0" hidden="1"/>
    </xf>
    <xf numFmtId="0" fontId="12" fillId="6" borderId="2" xfId="8" applyFont="1" applyFill="1" applyBorder="1" applyAlignment="1" applyProtection="1">
      <alignment horizontal="center" vertical="center" shrinkToFit="1"/>
      <protection hidden="1"/>
    </xf>
    <xf numFmtId="193" fontId="12" fillId="0" borderId="1" xfId="4" applyNumberFormat="1" applyFont="1" applyFill="1" applyBorder="1" applyAlignment="1" applyProtection="1">
      <alignment horizontal="center" vertical="center" shrinkToFit="1"/>
      <protection locked="0" hidden="1"/>
    </xf>
    <xf numFmtId="193" fontId="12" fillId="0" borderId="4" xfId="4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1" xfId="8" applyFont="1" applyBorder="1" applyAlignment="1" applyProtection="1">
      <alignment horizontal="center" vertical="center" shrinkToFit="1"/>
      <protection hidden="1"/>
    </xf>
    <xf numFmtId="0" fontId="30" fillId="0" borderId="0" xfId="8" applyFont="1" applyAlignment="1" applyProtection="1">
      <alignment horizontal="left" vertical="center" wrapText="1" shrinkToFit="1"/>
      <protection hidden="1"/>
    </xf>
    <xf numFmtId="0" fontId="19" fillId="6" borderId="1" xfId="8" applyFont="1" applyFill="1" applyBorder="1" applyAlignment="1" applyProtection="1">
      <alignment horizontal="center" vertical="center" wrapText="1" shrinkToFit="1"/>
      <protection hidden="1"/>
    </xf>
    <xf numFmtId="186" fontId="12" fillId="6" borderId="27" xfId="8" applyNumberFormat="1" applyFont="1" applyFill="1" applyBorder="1" applyAlignment="1" applyProtection="1">
      <alignment horizontal="center" vertical="center" shrinkToFit="1"/>
      <protection hidden="1"/>
    </xf>
    <xf numFmtId="191" fontId="12" fillId="0" borderId="35" xfId="8" applyNumberFormat="1" applyFont="1" applyBorder="1" applyAlignment="1" applyProtection="1">
      <alignment horizontal="right" vertical="center" shrinkToFit="1"/>
      <protection hidden="1"/>
    </xf>
    <xf numFmtId="191" fontId="12" fillId="0" borderId="36" xfId="8" applyNumberFormat="1" applyFont="1" applyBorder="1" applyAlignment="1" applyProtection="1">
      <alignment horizontal="right" vertical="center" shrinkToFit="1"/>
      <protection hidden="1"/>
    </xf>
    <xf numFmtId="191" fontId="12" fillId="0" borderId="4" xfId="8" applyNumberFormat="1" applyFont="1" applyBorder="1" applyAlignment="1" applyProtection="1">
      <alignment horizontal="right" vertical="center" shrinkToFit="1"/>
      <protection hidden="1"/>
    </xf>
    <xf numFmtId="191" fontId="12" fillId="0" borderId="6" xfId="8" applyNumberFormat="1" applyFont="1" applyBorder="1" applyAlignment="1" applyProtection="1">
      <alignment horizontal="right" vertical="center" shrinkToFit="1"/>
      <protection hidden="1"/>
    </xf>
    <xf numFmtId="189" fontId="12" fillId="0" borderId="37" xfId="4" applyNumberFormat="1" applyFont="1" applyBorder="1" applyAlignment="1" applyProtection="1">
      <alignment horizontal="right" vertical="center" shrinkToFit="1"/>
      <protection hidden="1"/>
    </xf>
    <xf numFmtId="189" fontId="12" fillId="0" borderId="5" xfId="4" applyNumberFormat="1" applyFont="1" applyBorder="1" applyAlignment="1" applyProtection="1">
      <alignment horizontal="right" vertical="center" shrinkToFit="1"/>
      <protection hidden="1"/>
    </xf>
    <xf numFmtId="189" fontId="12" fillId="0" borderId="38" xfId="4" applyNumberFormat="1" applyFont="1" applyBorder="1" applyAlignment="1" applyProtection="1">
      <alignment horizontal="right" vertical="center" shrinkToFit="1"/>
      <protection hidden="1"/>
    </xf>
    <xf numFmtId="191" fontId="12" fillId="0" borderId="1" xfId="4" applyNumberFormat="1" applyFont="1" applyBorder="1" applyAlignment="1" applyProtection="1">
      <alignment horizontal="right" vertical="center" shrinkToFit="1"/>
      <protection hidden="1"/>
    </xf>
    <xf numFmtId="190" fontId="12" fillId="0" borderId="0" xfId="4" applyNumberFormat="1" applyFont="1" applyBorder="1" applyAlignment="1" applyProtection="1">
      <alignment horizontal="right" vertical="center" shrinkToFit="1"/>
      <protection hidden="1"/>
    </xf>
    <xf numFmtId="187" fontId="12" fillId="0" borderId="19" xfId="4" applyNumberFormat="1" applyFont="1" applyFill="1" applyBorder="1" applyAlignment="1" applyProtection="1">
      <alignment horizontal="right" shrinkToFit="1"/>
      <protection hidden="1"/>
    </xf>
    <xf numFmtId="187" fontId="12" fillId="0" borderId="20" xfId="4" applyNumberFormat="1" applyFont="1" applyFill="1" applyBorder="1" applyAlignment="1" applyProtection="1">
      <alignment horizontal="right" shrinkToFit="1"/>
      <protection hidden="1"/>
    </xf>
    <xf numFmtId="187" fontId="12" fillId="0" borderId="21" xfId="4" applyNumberFormat="1" applyFont="1" applyFill="1" applyBorder="1" applyAlignment="1" applyProtection="1">
      <alignment horizontal="right" shrinkToFit="1"/>
      <protection hidden="1"/>
    </xf>
    <xf numFmtId="0" fontId="12" fillId="2" borderId="1" xfId="8" applyFont="1" applyFill="1" applyBorder="1" applyAlignment="1" applyProtection="1">
      <alignment horizontal="left" vertical="center" shrinkToFit="1"/>
      <protection locked="0" hidden="1"/>
    </xf>
    <xf numFmtId="193" fontId="12" fillId="4" borderId="1" xfId="4" applyNumberFormat="1" applyFont="1" applyFill="1" applyBorder="1" applyAlignment="1" applyProtection="1">
      <alignment horizontal="center" vertical="center" shrinkToFit="1"/>
      <protection locked="0" hidden="1"/>
    </xf>
    <xf numFmtId="193" fontId="12" fillId="4" borderId="4" xfId="4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11" xfId="8" applyFont="1" applyBorder="1" applyAlignment="1" applyProtection="1">
      <alignment horizontal="center" vertical="center" shrinkToFit="1"/>
      <protection hidden="1"/>
    </xf>
    <xf numFmtId="189" fontId="12" fillId="0" borderId="61" xfId="4" applyNumberFormat="1" applyFont="1" applyBorder="1" applyAlignment="1" applyProtection="1">
      <alignment horizontal="right" vertical="center" shrinkToFit="1"/>
      <protection hidden="1"/>
    </xf>
    <xf numFmtId="189" fontId="12" fillId="0" borderId="62" xfId="4" applyNumberFormat="1" applyFont="1" applyBorder="1" applyAlignment="1" applyProtection="1">
      <alignment horizontal="right" vertical="center" shrinkToFit="1"/>
      <protection hidden="1"/>
    </xf>
    <xf numFmtId="189" fontId="12" fillId="0" borderId="63" xfId="4" applyNumberFormat="1" applyFont="1" applyBorder="1" applyAlignment="1" applyProtection="1">
      <alignment horizontal="right" vertical="center" shrinkToFit="1"/>
      <protection hidden="1"/>
    </xf>
    <xf numFmtId="189" fontId="12" fillId="0" borderId="66" xfId="4" applyNumberFormat="1" applyFont="1" applyFill="1" applyBorder="1" applyAlignment="1" applyProtection="1">
      <alignment horizontal="right" vertical="center" shrinkToFit="1"/>
      <protection hidden="1"/>
    </xf>
    <xf numFmtId="189" fontId="12" fillId="0" borderId="67" xfId="4" applyNumberFormat="1" applyFont="1" applyFill="1" applyBorder="1" applyAlignment="1" applyProtection="1">
      <alignment horizontal="right" vertical="center" shrinkToFit="1"/>
      <protection hidden="1"/>
    </xf>
    <xf numFmtId="189" fontId="12" fillId="0" borderId="68" xfId="4" applyNumberFormat="1" applyFont="1" applyFill="1" applyBorder="1" applyAlignment="1" applyProtection="1">
      <alignment horizontal="right" vertical="center" shrinkToFit="1"/>
      <protection hidden="1"/>
    </xf>
    <xf numFmtId="187" fontId="12" fillId="0" borderId="42" xfId="8" applyNumberFormat="1" applyFont="1" applyBorder="1" applyAlignment="1" applyProtection="1">
      <alignment horizontal="right" vertical="center" shrinkToFit="1"/>
      <protection hidden="1"/>
    </xf>
    <xf numFmtId="188" fontId="12" fillId="0" borderId="8" xfId="8" applyNumberFormat="1" applyFont="1" applyBorder="1" applyAlignment="1" applyProtection="1">
      <alignment horizontal="right" vertical="center" shrinkToFit="1"/>
      <protection hidden="1"/>
    </xf>
    <xf numFmtId="189" fontId="12" fillId="0" borderId="34" xfId="4" applyNumberFormat="1" applyFont="1" applyBorder="1" applyAlignment="1" applyProtection="1">
      <alignment horizontal="right" vertical="center" shrinkToFit="1"/>
      <protection hidden="1"/>
    </xf>
    <xf numFmtId="189" fontId="12" fillId="0" borderId="35" xfId="4" applyNumberFormat="1" applyFont="1" applyBorder="1" applyAlignment="1" applyProtection="1">
      <alignment horizontal="right" vertical="center" shrinkToFit="1"/>
      <protection hidden="1"/>
    </xf>
    <xf numFmtId="189" fontId="12" fillId="0" borderId="36" xfId="4" applyNumberFormat="1" applyFont="1" applyBorder="1" applyAlignment="1" applyProtection="1">
      <alignment horizontal="right" vertical="center" shrinkToFit="1"/>
      <protection hidden="1"/>
    </xf>
    <xf numFmtId="187" fontId="12" fillId="6" borderId="12" xfId="8" applyNumberFormat="1" applyFont="1" applyFill="1" applyBorder="1" applyAlignment="1" applyProtection="1">
      <alignment horizontal="center" vertical="center" wrapText="1" shrinkToFit="1"/>
      <protection hidden="1"/>
    </xf>
    <xf numFmtId="189" fontId="12" fillId="0" borderId="56" xfId="4" applyNumberFormat="1" applyFont="1" applyBorder="1" applyAlignment="1" applyProtection="1">
      <alignment horizontal="right" vertical="center" shrinkToFit="1"/>
      <protection hidden="1"/>
    </xf>
    <xf numFmtId="189" fontId="12" fillId="0" borderId="57" xfId="4" applyNumberFormat="1" applyFont="1" applyBorder="1" applyAlignment="1" applyProtection="1">
      <alignment horizontal="right" vertical="center" shrinkToFit="1"/>
      <protection hidden="1"/>
    </xf>
    <xf numFmtId="189" fontId="12" fillId="0" borderId="58" xfId="4" applyNumberFormat="1" applyFont="1" applyBorder="1" applyAlignment="1" applyProtection="1">
      <alignment horizontal="right" vertical="center" shrinkToFit="1"/>
      <protection hidden="1"/>
    </xf>
    <xf numFmtId="0" fontId="12" fillId="6" borderId="11" xfId="8" applyFont="1" applyFill="1" applyBorder="1" applyAlignment="1" applyProtection="1">
      <alignment horizontal="center" vertical="center" shrinkToFit="1"/>
      <protection hidden="1"/>
    </xf>
    <xf numFmtId="0" fontId="12" fillId="6" borderId="0" xfId="8" applyFont="1" applyFill="1" applyAlignment="1" applyProtection="1">
      <alignment horizontal="center" vertical="center" shrinkToFit="1"/>
      <protection hidden="1"/>
    </xf>
    <xf numFmtId="0" fontId="12" fillId="6" borderId="7" xfId="8" applyFont="1" applyFill="1" applyBorder="1" applyAlignment="1" applyProtection="1">
      <alignment horizontal="center" vertical="center" shrinkToFit="1"/>
      <protection hidden="1"/>
    </xf>
    <xf numFmtId="0" fontId="12" fillId="0" borderId="21" xfId="8" applyFont="1" applyBorder="1" applyAlignment="1" applyProtection="1">
      <alignment horizontal="center" vertical="center" shrinkToFit="1"/>
      <protection hidden="1"/>
    </xf>
    <xf numFmtId="189" fontId="12" fillId="0" borderId="59" xfId="4" applyNumberFormat="1" applyFont="1" applyBorder="1" applyAlignment="1" applyProtection="1">
      <alignment horizontal="right" vertical="center" shrinkToFit="1"/>
      <protection hidden="1"/>
    </xf>
    <xf numFmtId="189" fontId="12" fillId="0" borderId="13" xfId="4" applyNumberFormat="1" applyFont="1" applyBorder="1" applyAlignment="1" applyProtection="1">
      <alignment horizontal="right" vertical="center" shrinkToFit="1"/>
      <protection hidden="1"/>
    </xf>
    <xf numFmtId="189" fontId="12" fillId="0" borderId="60" xfId="4" applyNumberFormat="1" applyFont="1" applyBorder="1" applyAlignment="1" applyProtection="1">
      <alignment horizontal="right" vertical="center" shrinkToFit="1"/>
      <protection hidden="1"/>
    </xf>
    <xf numFmtId="188" fontId="12" fillId="0" borderId="4" xfId="4" applyNumberFormat="1" applyFont="1" applyFill="1" applyBorder="1" applyAlignment="1" applyProtection="1">
      <alignment horizontal="right" vertical="center" shrinkToFit="1"/>
      <protection hidden="1"/>
    </xf>
    <xf numFmtId="188" fontId="12" fillId="0" borderId="5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7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27" xfId="4" applyNumberFormat="1" applyFont="1" applyFill="1" applyBorder="1" applyAlignment="1" applyProtection="1">
      <alignment horizontal="right" vertical="center" shrinkToFit="1"/>
      <protection hidden="1"/>
    </xf>
    <xf numFmtId="190" fontId="12" fillId="0" borderId="11" xfId="4" applyNumberFormat="1" applyFont="1" applyFill="1" applyBorder="1" applyAlignment="1" applyProtection="1">
      <alignment horizontal="right" vertical="center" shrinkToFit="1"/>
      <protection hidden="1"/>
    </xf>
    <xf numFmtId="188" fontId="12" fillId="0" borderId="14" xfId="4" applyNumberFormat="1" applyFont="1" applyFill="1" applyBorder="1" applyAlignment="1" applyProtection="1">
      <alignment horizontal="right" vertical="center" shrinkToFit="1"/>
      <protection hidden="1"/>
    </xf>
    <xf numFmtId="188" fontId="12" fillId="0" borderId="18" xfId="4" applyNumberFormat="1" applyFont="1" applyFill="1" applyBorder="1" applyAlignment="1" applyProtection="1">
      <alignment horizontal="right" vertical="center" shrinkToFit="1"/>
      <protection hidden="1"/>
    </xf>
    <xf numFmtId="0" fontId="12" fillId="0" borderId="0" xfId="8" applyFont="1" applyAlignment="1" applyProtection="1">
      <alignment horizontal="center" vertical="center"/>
      <protection hidden="1"/>
    </xf>
    <xf numFmtId="189" fontId="12" fillId="0" borderId="7" xfId="4" applyNumberFormat="1" applyFont="1" applyFill="1" applyBorder="1" applyAlignment="1" applyProtection="1">
      <alignment horizontal="right" vertical="center" shrinkToFit="1"/>
      <protection hidden="1"/>
    </xf>
    <xf numFmtId="189" fontId="12" fillId="0" borderId="27" xfId="4" applyNumberFormat="1" applyFont="1" applyFill="1" applyBorder="1" applyAlignment="1" applyProtection="1">
      <alignment horizontal="right" vertical="center" shrinkToFit="1"/>
      <protection hidden="1"/>
    </xf>
    <xf numFmtId="189" fontId="12" fillId="0" borderId="11" xfId="4" applyNumberFormat="1" applyFont="1" applyFill="1" applyBorder="1" applyAlignment="1" applyProtection="1">
      <alignment horizontal="right" vertical="center" shrinkToFit="1"/>
      <protection hidden="1"/>
    </xf>
    <xf numFmtId="1" fontId="12" fillId="2" borderId="1" xfId="8" applyNumberFormat="1" applyFont="1" applyFill="1" applyBorder="1" applyAlignment="1" applyProtection="1">
      <alignment horizontal="center" vertical="center" shrinkToFit="1"/>
      <protection locked="0" hidden="1"/>
    </xf>
    <xf numFmtId="1" fontId="12" fillId="2" borderId="4" xfId="8" applyNumberFormat="1" applyFont="1" applyFill="1" applyBorder="1" applyAlignment="1" applyProtection="1">
      <alignment horizontal="center" vertical="center" shrinkToFit="1"/>
      <protection locked="0" hidden="1"/>
    </xf>
    <xf numFmtId="181" fontId="19" fillId="6" borderId="12" xfId="8" applyNumberFormat="1" applyFont="1" applyFill="1" applyBorder="1" applyAlignment="1" applyProtection="1">
      <alignment horizontal="center" vertical="center" wrapText="1" shrinkToFit="1"/>
      <protection hidden="1"/>
    </xf>
    <xf numFmtId="181" fontId="19" fillId="6" borderId="13" xfId="8" applyNumberFormat="1" applyFont="1" applyFill="1" applyBorder="1" applyAlignment="1" applyProtection="1">
      <alignment horizontal="center" vertical="center" shrinkToFit="1"/>
      <protection hidden="1"/>
    </xf>
    <xf numFmtId="181" fontId="19" fillId="6" borderId="15" xfId="8" applyNumberFormat="1" applyFont="1" applyFill="1" applyBorder="1" applyAlignment="1" applyProtection="1">
      <alignment horizontal="center" vertical="center" shrinkToFit="1"/>
      <protection hidden="1"/>
    </xf>
    <xf numFmtId="0" fontId="41" fillId="6" borderId="1" xfId="8" applyFont="1" applyFill="1" applyBorder="1" applyAlignment="1" applyProtection="1">
      <alignment horizontal="center" vertical="center" wrapText="1" shrinkToFit="1"/>
      <protection hidden="1"/>
    </xf>
    <xf numFmtId="0" fontId="41" fillId="6" borderId="1" xfId="8" applyFont="1" applyFill="1" applyBorder="1" applyAlignment="1" applyProtection="1">
      <alignment horizontal="center" vertical="center" shrinkToFit="1"/>
      <protection hidden="1"/>
    </xf>
    <xf numFmtId="1" fontId="12" fillId="2" borderId="1" xfId="8" applyNumberFormat="1" applyFont="1" applyFill="1" applyBorder="1" applyAlignment="1" applyProtection="1">
      <alignment horizontal="left" vertical="center" shrinkToFit="1"/>
      <protection locked="0" hidden="1"/>
    </xf>
    <xf numFmtId="0" fontId="12" fillId="0" borderId="1" xfId="8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68">
    <cellStyle name="Excel Built-in Comma [0] 1" xfId="23" xr:uid="{00000000-0005-0000-0000-000000000000}"/>
    <cellStyle name="Excel Built-in Currency [0] 1" xfId="24" xr:uid="{00000000-0005-0000-0000-000001000000}"/>
    <cellStyle name="Excel Built-in Normal" xfId="25" xr:uid="{00000000-0005-0000-0000-000002000000}"/>
    <cellStyle name="Excel Built-in Normal 1" xfId="26" xr:uid="{00000000-0005-0000-0000-000003000000}"/>
    <cellStyle name="Excel Built-in Normal 1 2" xfId="27" xr:uid="{00000000-0005-0000-0000-000004000000}"/>
    <cellStyle name="Excel Built-in Normal 2" xfId="28" xr:uid="{00000000-0005-0000-0000-000005000000}"/>
    <cellStyle name="パーセント" xfId="6" builtinId="5"/>
    <cellStyle name="パーセント 2" xfId="9" xr:uid="{00000000-0005-0000-0000-000007000000}"/>
    <cellStyle name="パーセント 3" xfId="29" xr:uid="{00000000-0005-0000-0000-000008000000}"/>
    <cellStyle name="パーセント 3 2" xfId="56" xr:uid="{00000000-0005-0000-0000-000009000000}"/>
    <cellStyle name="パーセント 3 3" xfId="64" xr:uid="{00000000-0005-0000-0000-00000A000000}"/>
    <cellStyle name="パーセント 3 3 2" xfId="145" xr:uid="{00000000-0005-0000-0000-00000B000000}"/>
    <cellStyle name="パーセント 3 4" xfId="129" xr:uid="{00000000-0005-0000-0000-00000C000000}"/>
    <cellStyle name="パーセント 3 5" xfId="97" xr:uid="{00000000-0005-0000-0000-00000D000000}"/>
    <cellStyle name="パーセント 3 6" xfId="45" xr:uid="{00000000-0005-0000-0000-00000E000000}"/>
    <cellStyle name="パーセント 4" xfId="52" xr:uid="{00000000-0005-0000-0000-00000F000000}"/>
    <cellStyle name="パーセント 4 2" xfId="68" xr:uid="{00000000-0005-0000-0000-000010000000}"/>
    <cellStyle name="パーセント 4 2 2" xfId="149" xr:uid="{00000000-0005-0000-0000-000011000000}"/>
    <cellStyle name="パーセント 4 3" xfId="133" xr:uid="{00000000-0005-0000-0000-000012000000}"/>
    <cellStyle name="パーセント 4 4" xfId="100" xr:uid="{00000000-0005-0000-0000-000013000000}"/>
    <cellStyle name="パーセント 5" xfId="77" xr:uid="{00000000-0005-0000-0000-000014000000}"/>
    <cellStyle name="パーセント 5 2" xfId="158" xr:uid="{00000000-0005-0000-0000-000015000000}"/>
    <cellStyle name="パーセント 5 3" xfId="108" xr:uid="{00000000-0005-0000-0000-000016000000}"/>
    <cellStyle name="パーセント 6" xfId="86" xr:uid="{00000000-0005-0000-0000-000017000000}"/>
    <cellStyle name="パーセント 6 2" xfId="167" xr:uid="{00000000-0005-0000-0000-000018000000}"/>
    <cellStyle name="パーセント 6 3" xfId="117" xr:uid="{00000000-0005-0000-0000-000019000000}"/>
    <cellStyle name="パーセント 7" xfId="89" xr:uid="{00000000-0005-0000-0000-00001A000000}"/>
    <cellStyle name="パーセント 8" xfId="47" xr:uid="{00000000-0005-0000-0000-00001B000000}"/>
    <cellStyle name="ハイパーリンク 2" xfId="10" xr:uid="{00000000-0005-0000-0000-00001C000000}"/>
    <cellStyle name="ハイパーリンク 2 2" xfId="37" xr:uid="{00000000-0005-0000-0000-00001D000000}"/>
    <cellStyle name="桁区切り" xfId="4" builtinId="6"/>
    <cellStyle name="桁区切り 2" xfId="2" xr:uid="{00000000-0005-0000-0000-00001F000000}"/>
    <cellStyle name="桁区切り 2 2" xfId="30" xr:uid="{00000000-0005-0000-0000-000020000000}"/>
    <cellStyle name="桁区切り 2 3" xfId="50" xr:uid="{00000000-0005-0000-0000-000021000000}"/>
    <cellStyle name="桁区切り 2 4" xfId="40" xr:uid="{00000000-0005-0000-0000-000022000000}"/>
    <cellStyle name="桁区切り 3" xfId="11" xr:uid="{00000000-0005-0000-0000-000023000000}"/>
    <cellStyle name="桁区切り 4" xfId="31" xr:uid="{00000000-0005-0000-0000-000024000000}"/>
    <cellStyle name="桁区切り 4 2" xfId="57" xr:uid="{00000000-0005-0000-0000-000025000000}"/>
    <cellStyle name="桁区切り 4 2 2" xfId="72" xr:uid="{00000000-0005-0000-0000-000026000000}"/>
    <cellStyle name="桁区切り 4 2 2 2" xfId="153" xr:uid="{00000000-0005-0000-0000-000027000000}"/>
    <cellStyle name="桁区切り 4 2 3" xfId="137" xr:uid="{00000000-0005-0000-0000-000028000000}"/>
    <cellStyle name="桁区切り 4 2 4" xfId="104" xr:uid="{00000000-0005-0000-0000-000029000000}"/>
    <cellStyle name="桁区切り 4 3" xfId="81" xr:uid="{00000000-0005-0000-0000-00002A000000}"/>
    <cellStyle name="桁区切り 4 3 2" xfId="162" xr:uid="{00000000-0005-0000-0000-00002B000000}"/>
    <cellStyle name="桁区切り 4 3 3" xfId="112" xr:uid="{00000000-0005-0000-0000-00002C000000}"/>
    <cellStyle name="桁区切り 4 4" xfId="65" xr:uid="{00000000-0005-0000-0000-00002D000000}"/>
    <cellStyle name="桁区切り 4 4 2" xfId="146" xr:uid="{00000000-0005-0000-0000-00002E000000}"/>
    <cellStyle name="桁区切り 4 4 3" xfId="121" xr:uid="{00000000-0005-0000-0000-00002F000000}"/>
    <cellStyle name="桁区切り 4 5" xfId="94" xr:uid="{00000000-0005-0000-0000-000030000000}"/>
    <cellStyle name="桁区切り 4 6" xfId="130" xr:uid="{00000000-0005-0000-0000-000031000000}"/>
    <cellStyle name="桁区切り 5" xfId="32" xr:uid="{00000000-0005-0000-0000-000032000000}"/>
    <cellStyle name="桁区切り 6" xfId="51" xr:uid="{00000000-0005-0000-0000-000033000000}"/>
    <cellStyle name="桁区切り 6 2" xfId="67" xr:uid="{00000000-0005-0000-0000-000034000000}"/>
    <cellStyle name="桁区切り 6 2 2" xfId="148" xr:uid="{00000000-0005-0000-0000-000035000000}"/>
    <cellStyle name="桁区切り 6 3" xfId="132" xr:uid="{00000000-0005-0000-0000-000036000000}"/>
    <cellStyle name="桁区切り 6 4" xfId="99" xr:uid="{00000000-0005-0000-0000-000037000000}"/>
    <cellStyle name="桁区切り 7" xfId="76" xr:uid="{00000000-0005-0000-0000-000038000000}"/>
    <cellStyle name="桁区切り 7 2" xfId="157" xr:uid="{00000000-0005-0000-0000-000039000000}"/>
    <cellStyle name="桁区切り 7 3" xfId="107" xr:uid="{00000000-0005-0000-0000-00003A000000}"/>
    <cellStyle name="桁区切り 8" xfId="85" xr:uid="{00000000-0005-0000-0000-00003B000000}"/>
    <cellStyle name="桁区切り 8 2" xfId="166" xr:uid="{00000000-0005-0000-0000-00003C000000}"/>
    <cellStyle name="桁区切り 8 3" xfId="116" xr:uid="{00000000-0005-0000-0000-00003D000000}"/>
    <cellStyle name="桁区切り 9" xfId="88" xr:uid="{00000000-0005-0000-0000-00003E000000}"/>
    <cellStyle name="通貨 2" xfId="12" xr:uid="{00000000-0005-0000-0000-00003F000000}"/>
    <cellStyle name="通貨 2 2" xfId="53" xr:uid="{00000000-0005-0000-0000-000040000000}"/>
    <cellStyle name="通貨 2 2 2" xfId="69" xr:uid="{00000000-0005-0000-0000-000041000000}"/>
    <cellStyle name="通貨 2 2 2 2" xfId="150" xr:uid="{00000000-0005-0000-0000-000042000000}"/>
    <cellStyle name="通貨 2 2 3" xfId="134" xr:uid="{00000000-0005-0000-0000-000043000000}"/>
    <cellStyle name="通貨 2 2 4" xfId="101" xr:uid="{00000000-0005-0000-0000-000044000000}"/>
    <cellStyle name="通貨 2 3" xfId="78" xr:uid="{00000000-0005-0000-0000-000045000000}"/>
    <cellStyle name="通貨 2 3 2" xfId="159" xr:uid="{00000000-0005-0000-0000-000046000000}"/>
    <cellStyle name="通貨 2 3 3" xfId="109" xr:uid="{00000000-0005-0000-0000-000047000000}"/>
    <cellStyle name="通貨 2 4" xfId="59" xr:uid="{00000000-0005-0000-0000-000048000000}"/>
    <cellStyle name="通貨 2 4 2" xfId="140" xr:uid="{00000000-0005-0000-0000-000049000000}"/>
    <cellStyle name="通貨 2 4 3" xfId="118" xr:uid="{00000000-0005-0000-0000-00004A000000}"/>
    <cellStyle name="通貨 2 5" xfId="90" xr:uid="{00000000-0005-0000-0000-00004B000000}"/>
    <cellStyle name="通貨 2 6" xfId="124" xr:uid="{00000000-0005-0000-0000-00004C000000}"/>
    <cellStyle name="標準" xfId="0" builtinId="0"/>
    <cellStyle name="標準 10" xfId="44" xr:uid="{00000000-0005-0000-0000-00004E000000}"/>
    <cellStyle name="標準 10 2" xfId="63" xr:uid="{00000000-0005-0000-0000-00004F000000}"/>
    <cellStyle name="標準 10 2 2" xfId="144" xr:uid="{00000000-0005-0000-0000-000050000000}"/>
    <cellStyle name="標準 10 3" xfId="128" xr:uid="{00000000-0005-0000-0000-000051000000}"/>
    <cellStyle name="標準 10 4" xfId="96" xr:uid="{00000000-0005-0000-0000-000052000000}"/>
    <cellStyle name="標準 11" xfId="48" xr:uid="{00000000-0005-0000-0000-000053000000}"/>
    <cellStyle name="標準 11 2" xfId="66" xr:uid="{00000000-0005-0000-0000-000054000000}"/>
    <cellStyle name="標準 11 2 2" xfId="147" xr:uid="{00000000-0005-0000-0000-000055000000}"/>
    <cellStyle name="標準 11 3" xfId="131" xr:uid="{00000000-0005-0000-0000-000056000000}"/>
    <cellStyle name="標準 11 4" xfId="98" xr:uid="{00000000-0005-0000-0000-000057000000}"/>
    <cellStyle name="標準 12" xfId="75" xr:uid="{00000000-0005-0000-0000-000058000000}"/>
    <cellStyle name="標準 12 2" xfId="156" xr:uid="{00000000-0005-0000-0000-000059000000}"/>
    <cellStyle name="標準 12 3" xfId="106" xr:uid="{00000000-0005-0000-0000-00005A000000}"/>
    <cellStyle name="標準 13" xfId="84" xr:uid="{00000000-0005-0000-0000-00005B000000}"/>
    <cellStyle name="標準 13 2" xfId="165" xr:uid="{00000000-0005-0000-0000-00005C000000}"/>
    <cellStyle name="標準 13 3" xfId="115" xr:uid="{00000000-0005-0000-0000-00005D000000}"/>
    <cellStyle name="標準 14" xfId="87" xr:uid="{00000000-0005-0000-0000-00005E000000}"/>
    <cellStyle name="標準 2" xfId="3" xr:uid="{00000000-0005-0000-0000-00005F000000}"/>
    <cellStyle name="標準 2 2" xfId="13" xr:uid="{00000000-0005-0000-0000-000060000000}"/>
    <cellStyle name="標準 2 2 2" xfId="14" xr:uid="{00000000-0005-0000-0000-000061000000}"/>
    <cellStyle name="標準 2 2 3" xfId="38" xr:uid="{00000000-0005-0000-0000-000062000000}"/>
    <cellStyle name="標準 2 2 3 2" xfId="83" xr:uid="{00000000-0005-0000-0000-000063000000}"/>
    <cellStyle name="標準 2 2 3 2 2" xfId="164" xr:uid="{00000000-0005-0000-0000-000064000000}"/>
    <cellStyle name="標準 2 2 3 2 3" xfId="114" xr:uid="{00000000-0005-0000-0000-000065000000}"/>
    <cellStyle name="標準 2 2 3 3" xfId="74" xr:uid="{00000000-0005-0000-0000-000066000000}"/>
    <cellStyle name="標準 2 2 3 3 2" xfId="155" xr:uid="{00000000-0005-0000-0000-000067000000}"/>
    <cellStyle name="標準 2 2 3 3 3" xfId="123" xr:uid="{00000000-0005-0000-0000-000068000000}"/>
    <cellStyle name="標準 2 2 3 4" xfId="95" xr:uid="{00000000-0005-0000-0000-000069000000}"/>
    <cellStyle name="標準 2 2 3 5" xfId="139" xr:uid="{00000000-0005-0000-0000-00006A000000}"/>
    <cellStyle name="標準 2 3" xfId="15" xr:uid="{00000000-0005-0000-0000-00006B000000}"/>
    <cellStyle name="標準 2 3 2" xfId="16" xr:uid="{00000000-0005-0000-0000-00006C000000}"/>
    <cellStyle name="標準 2 3 2 2" xfId="22" xr:uid="{00000000-0005-0000-0000-00006D000000}"/>
    <cellStyle name="標準 2 4" xfId="17" xr:uid="{00000000-0005-0000-0000-00006E000000}"/>
    <cellStyle name="標準 2 5" xfId="18" xr:uid="{00000000-0005-0000-0000-00006F000000}"/>
    <cellStyle name="標準 2 6" xfId="36" xr:uid="{00000000-0005-0000-0000-000070000000}"/>
    <cellStyle name="標準 2 7" xfId="41" xr:uid="{00000000-0005-0000-0000-000071000000}"/>
    <cellStyle name="標準 2_システム要件表_0201" xfId="46" xr:uid="{00000000-0005-0000-0000-000072000000}"/>
    <cellStyle name="標準 3" xfId="1" xr:uid="{00000000-0005-0000-0000-000073000000}"/>
    <cellStyle name="標準 3 2" xfId="33" xr:uid="{00000000-0005-0000-0000-000074000000}"/>
    <cellStyle name="標準 3 3" xfId="49" xr:uid="{00000000-0005-0000-0000-000075000000}"/>
    <cellStyle name="標準 3 4" xfId="42" xr:uid="{00000000-0005-0000-0000-000076000000}"/>
    <cellStyle name="標準 4" xfId="5" xr:uid="{00000000-0005-0000-0000-000077000000}"/>
    <cellStyle name="標準 4 2" xfId="7" xr:uid="{00000000-0005-0000-0000-000078000000}"/>
    <cellStyle name="標準 4 3" xfId="39" xr:uid="{00000000-0005-0000-0000-000079000000}"/>
    <cellStyle name="標準 5" xfId="19" xr:uid="{00000000-0005-0000-0000-00007A000000}"/>
    <cellStyle name="標準 6" xfId="20" xr:uid="{00000000-0005-0000-0000-00007B000000}"/>
    <cellStyle name="標準 6 2" xfId="54" xr:uid="{00000000-0005-0000-0000-00007C000000}"/>
    <cellStyle name="標準 6 2 2" xfId="70" xr:uid="{00000000-0005-0000-0000-00007D000000}"/>
    <cellStyle name="標準 6 2 2 2" xfId="151" xr:uid="{00000000-0005-0000-0000-00007E000000}"/>
    <cellStyle name="標準 6 2 3" xfId="135" xr:uid="{00000000-0005-0000-0000-00007F000000}"/>
    <cellStyle name="標準 6 2 4" xfId="102" xr:uid="{00000000-0005-0000-0000-000080000000}"/>
    <cellStyle name="標準 6 3" xfId="79" xr:uid="{00000000-0005-0000-0000-000081000000}"/>
    <cellStyle name="標準 6 3 2" xfId="160" xr:uid="{00000000-0005-0000-0000-000082000000}"/>
    <cellStyle name="標準 6 3 3" xfId="110" xr:uid="{00000000-0005-0000-0000-000083000000}"/>
    <cellStyle name="標準 6 4" xfId="60" xr:uid="{00000000-0005-0000-0000-000084000000}"/>
    <cellStyle name="標準 6 4 2" xfId="141" xr:uid="{00000000-0005-0000-0000-000085000000}"/>
    <cellStyle name="標準 6 4 3" xfId="119" xr:uid="{00000000-0005-0000-0000-000086000000}"/>
    <cellStyle name="標準 6 5" xfId="91" xr:uid="{00000000-0005-0000-0000-000087000000}"/>
    <cellStyle name="標準 6 6" xfId="125" xr:uid="{00000000-0005-0000-0000-000088000000}"/>
    <cellStyle name="標準 63" xfId="34" xr:uid="{00000000-0005-0000-0000-000089000000}"/>
    <cellStyle name="標準 7" xfId="8" xr:uid="{00000000-0005-0000-0000-00008A000000}"/>
    <cellStyle name="標準 7 2" xfId="43" xr:uid="{00000000-0005-0000-0000-00008B000000}"/>
    <cellStyle name="標準 8" xfId="21" xr:uid="{00000000-0005-0000-0000-00008C000000}"/>
    <cellStyle name="標準 8 2" xfId="55" xr:uid="{00000000-0005-0000-0000-00008D000000}"/>
    <cellStyle name="標準 8 2 2" xfId="71" xr:uid="{00000000-0005-0000-0000-00008E000000}"/>
    <cellStyle name="標準 8 2 2 2" xfId="152" xr:uid="{00000000-0005-0000-0000-00008F000000}"/>
    <cellStyle name="標準 8 2 3" xfId="136" xr:uid="{00000000-0005-0000-0000-000090000000}"/>
    <cellStyle name="標準 8 2 4" xfId="103" xr:uid="{00000000-0005-0000-0000-000091000000}"/>
    <cellStyle name="標準 8 3" xfId="80" xr:uid="{00000000-0005-0000-0000-000092000000}"/>
    <cellStyle name="標準 8 3 2" xfId="161" xr:uid="{00000000-0005-0000-0000-000093000000}"/>
    <cellStyle name="標準 8 3 3" xfId="111" xr:uid="{00000000-0005-0000-0000-000094000000}"/>
    <cellStyle name="標準 8 4" xfId="61" xr:uid="{00000000-0005-0000-0000-000095000000}"/>
    <cellStyle name="標準 8 4 2" xfId="142" xr:uid="{00000000-0005-0000-0000-000096000000}"/>
    <cellStyle name="標準 8 4 3" xfId="120" xr:uid="{00000000-0005-0000-0000-000097000000}"/>
    <cellStyle name="標準 8 5" xfId="92" xr:uid="{00000000-0005-0000-0000-000098000000}"/>
    <cellStyle name="標準 8 6" xfId="126" xr:uid="{00000000-0005-0000-0000-000099000000}"/>
    <cellStyle name="標準 9" xfId="35" xr:uid="{00000000-0005-0000-0000-00009A000000}"/>
    <cellStyle name="標準 9 2" xfId="58" xr:uid="{00000000-0005-0000-0000-00009B000000}"/>
    <cellStyle name="標準 9 2 2" xfId="73" xr:uid="{00000000-0005-0000-0000-00009C000000}"/>
    <cellStyle name="標準 9 2 2 2" xfId="154" xr:uid="{00000000-0005-0000-0000-00009D000000}"/>
    <cellStyle name="標準 9 2 3" xfId="138" xr:uid="{00000000-0005-0000-0000-00009E000000}"/>
    <cellStyle name="標準 9 2 4" xfId="105" xr:uid="{00000000-0005-0000-0000-00009F000000}"/>
    <cellStyle name="標準 9 3" xfId="82" xr:uid="{00000000-0005-0000-0000-0000A0000000}"/>
    <cellStyle name="標準 9 3 2" xfId="163" xr:uid="{00000000-0005-0000-0000-0000A1000000}"/>
    <cellStyle name="標準 9 3 3" xfId="113" xr:uid="{00000000-0005-0000-0000-0000A2000000}"/>
    <cellStyle name="標準 9 4" xfId="62" xr:uid="{00000000-0005-0000-0000-0000A3000000}"/>
    <cellStyle name="標準 9 4 2" xfId="143" xr:uid="{00000000-0005-0000-0000-0000A4000000}"/>
    <cellStyle name="標準 9 4 3" xfId="122" xr:uid="{00000000-0005-0000-0000-0000A5000000}"/>
    <cellStyle name="標準 9 5" xfId="93" xr:uid="{00000000-0005-0000-0000-0000A6000000}"/>
    <cellStyle name="標準 9 6" xfId="127" xr:uid="{00000000-0005-0000-0000-0000A7000000}"/>
  </cellStyles>
  <dxfs count="20">
    <dxf>
      <fill>
        <patternFill>
          <bgColor rgb="FFFFFFCC"/>
        </patternFill>
      </fill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theme="0"/>
        </patternFill>
      </fill>
      <border>
        <right/>
        <top/>
        <bottom/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387460</xdr:rowOff>
    </xdr:from>
    <xdr:ext cx="7600950" cy="110318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400" y="387460"/>
          <a:ext cx="7600950" cy="11031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本シートは、エネルギー使用量を簡易的に計算するための申請サポートツールです。本ファイルを使用したことにより利用者に生じた損害に関しては、当団体は一切の責任を負わないものとします。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600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本シートは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「令和６年度補正予算 省エネルギー投資促進・需要構造転換支援事業費補助金（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）工場・事業場型」のうち指定設備を導入する場合、又は「令和６年度補正予算 省エネルギー投資促進支援事業費補助金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(Ⅲ)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設備単位型」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でのみ利用できます。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35</xdr:col>
      <xdr:colOff>190500</xdr:colOff>
      <xdr:row>0</xdr:row>
      <xdr:rowOff>85725</xdr:rowOff>
    </xdr:from>
    <xdr:ext cx="598241" cy="264560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47474-6349-4D18-BB2D-8434B8586582}"/>
            </a:ext>
          </a:extLst>
        </xdr:cNvPr>
        <xdr:cNvSpPr txBox="1"/>
      </xdr:nvSpPr>
      <xdr:spPr>
        <a:xfrm>
          <a:off x="7191375" y="85725"/>
          <a:ext cx="598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Ver.1.0</a:t>
          </a:r>
          <a:endParaRPr kumimoji="1" lang="ja-JP" altLang="en-US" sz="1100"/>
        </a:p>
      </xdr:txBody>
    </xdr:sp>
    <xdr:clientData/>
  </xdr:oneCellAnchor>
  <xdr:twoCellAnchor editAs="oneCell">
    <xdr:from>
      <xdr:col>32</xdr:col>
      <xdr:colOff>85725</xdr:colOff>
      <xdr:row>52</xdr:row>
      <xdr:rowOff>0</xdr:rowOff>
    </xdr:from>
    <xdr:to>
      <xdr:col>38</xdr:col>
      <xdr:colOff>95844</xdr:colOff>
      <xdr:row>54</xdr:row>
      <xdr:rowOff>170323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522B0B8-AB8B-402D-A3D5-46467936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467975"/>
          <a:ext cx="1316949" cy="565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40</xdr:col>
      <xdr:colOff>76200</xdr:colOff>
      <xdr:row>0</xdr:row>
      <xdr:rowOff>0</xdr:rowOff>
    </xdr:from>
    <xdr:to>
      <xdr:col>48</xdr:col>
      <xdr:colOff>590550</xdr:colOff>
      <xdr:row>1</xdr:row>
      <xdr:rowOff>104402</xdr:rowOff>
    </xdr:to>
    <xdr:sp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70C0D95-1E47-416A-AD1D-795ADAE01FCC}"/>
            </a:ext>
          </a:extLst>
        </xdr:cNvPr>
        <xdr:cNvSpPr/>
      </xdr:nvSpPr>
      <xdr:spPr>
        <a:xfrm>
          <a:off x="8239125" y="0"/>
          <a:ext cx="9848850" cy="542552"/>
        </a:xfrm>
        <a:prstGeom prst="wedgeRectCallout">
          <a:avLst>
            <a:gd name="adj1" fmla="val -30955"/>
            <a:gd name="adj2" fmla="val 3833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最終的に非表示にする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152399</xdr:colOff>
      <xdr:row>0</xdr:row>
      <xdr:rowOff>392223</xdr:rowOff>
    </xdr:from>
    <xdr:ext cx="7610475" cy="110318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2399" y="392223"/>
          <a:ext cx="7610475" cy="11031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本シートは、エネルギー使用量を簡易的に計算するための申請サポートツールです。本ファイルを使用したことにより利用者に生じた損害に関しては、当団体は一切の責任を負わないものとします。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600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本シートは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「令和６年度補正予算 省エネルギー投資促進・需要構造転換支援事業費補助金（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）工場・事業場型」のうち指定設備を導入する場合、又は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「令和６年度補正予算 省エネルギー投資促進支援事業費補助金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(Ⅲ)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設備単位型」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でのみ利用できます。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32</xdr:col>
      <xdr:colOff>76200</xdr:colOff>
      <xdr:row>53</xdr:row>
      <xdr:rowOff>0</xdr:rowOff>
    </xdr:from>
    <xdr:to>
      <xdr:col>38</xdr:col>
      <xdr:colOff>78699</xdr:colOff>
      <xdr:row>55</xdr:row>
      <xdr:rowOff>174133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6276EF-6BFA-4ACB-9B45-3E2E101B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0410825"/>
          <a:ext cx="1316949" cy="565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35</xdr:col>
      <xdr:colOff>152400</xdr:colOff>
      <xdr:row>0</xdr:row>
      <xdr:rowOff>104775</xdr:rowOff>
    </xdr:from>
    <xdr:ext cx="59824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4C8B35-6441-4A20-95D0-CF5DDEBFEABA}"/>
            </a:ext>
          </a:extLst>
        </xdr:cNvPr>
        <xdr:cNvSpPr txBox="1"/>
      </xdr:nvSpPr>
      <xdr:spPr>
        <a:xfrm>
          <a:off x="7267575" y="104775"/>
          <a:ext cx="598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Ver.1.0</a:t>
          </a:r>
          <a:endParaRPr kumimoji="1" lang="ja-JP" altLang="en-US" sz="1100"/>
        </a:p>
      </xdr:txBody>
    </xdr:sp>
    <xdr:clientData/>
  </xdr:oneCellAnchor>
  <xdr:twoCellAnchor>
    <xdr:from>
      <xdr:col>40</xdr:col>
      <xdr:colOff>38100</xdr:colOff>
      <xdr:row>0</xdr:row>
      <xdr:rowOff>44450</xdr:rowOff>
    </xdr:from>
    <xdr:to>
      <xdr:col>48</xdr:col>
      <xdr:colOff>762000</xdr:colOff>
      <xdr:row>1</xdr:row>
      <xdr:rowOff>155202</xdr:rowOff>
    </xdr:to>
    <xdr:sp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924A15B-29EB-456C-A2F6-467A2A9FCF13}"/>
            </a:ext>
          </a:extLst>
        </xdr:cNvPr>
        <xdr:cNvSpPr/>
      </xdr:nvSpPr>
      <xdr:spPr>
        <a:xfrm>
          <a:off x="8267700" y="44450"/>
          <a:ext cx="6391275" cy="548902"/>
        </a:xfrm>
        <a:prstGeom prst="wedgeRectCallout">
          <a:avLst>
            <a:gd name="adj1" fmla="val -30955"/>
            <a:gd name="adj2" fmla="val 3833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最終的に非表示にする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1"/>
  <sheetViews>
    <sheetView showGridLines="0" tabSelected="1" view="pageBreakPreview" zoomScaleNormal="100" zoomScaleSheetLayoutView="100" workbookViewId="0">
      <selection activeCell="I7" sqref="I7:R7"/>
    </sheetView>
  </sheetViews>
  <sheetFormatPr defaultColWidth="9" defaultRowHeight="13"/>
  <cols>
    <col min="1" max="1" width="2.90625" style="36" customWidth="1"/>
    <col min="2" max="4" width="3.90625" style="36" customWidth="1"/>
    <col min="5" max="39" width="2.90625" style="36" customWidth="1"/>
    <col min="40" max="40" width="1.90625" style="36" customWidth="1"/>
    <col min="41" max="41" width="27" style="47" hidden="1" customWidth="1"/>
    <col min="42" max="42" width="16" style="47" hidden="1" customWidth="1"/>
    <col min="43" max="43" width="20" style="47" hidden="1" customWidth="1"/>
    <col min="44" max="44" width="9.453125" style="47" hidden="1" customWidth="1"/>
    <col min="45" max="45" width="18.08984375" style="47" hidden="1" customWidth="1"/>
    <col min="46" max="46" width="12.08984375" style="36" hidden="1" customWidth="1"/>
    <col min="47" max="47" width="21.90625" style="37" hidden="1" customWidth="1"/>
    <col min="48" max="49" width="9" style="37" hidden="1" customWidth="1"/>
    <col min="50" max="50" width="9" style="37" customWidth="1"/>
    <col min="51" max="58" width="9" style="37"/>
    <col min="59" max="59" width="13.6328125" style="37" customWidth="1"/>
    <col min="60" max="62" width="9" style="37"/>
    <col min="63" max="63" width="5.08984375" style="37" customWidth="1"/>
    <col min="64" max="66" width="9" style="37"/>
    <col min="67" max="67" width="2.90625" style="37" customWidth="1"/>
    <col min="68" max="16384" width="9" style="37"/>
  </cols>
  <sheetData>
    <row r="1" spans="1:48" ht="34.5" customHeight="1">
      <c r="A1" s="120" t="s">
        <v>231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5"/>
      <c r="AK1" s="35"/>
      <c r="AL1" s="35"/>
      <c r="AM1" s="35"/>
    </row>
    <row r="2" spans="1:48" ht="34.5" customHeight="1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</row>
    <row r="3" spans="1:48" ht="62" customHeight="1"/>
    <row r="4" spans="1:48" ht="15" customHeight="1">
      <c r="B4" s="287"/>
      <c r="C4" s="288"/>
      <c r="D4" s="288"/>
      <c r="E4" s="289"/>
      <c r="F4" s="290" t="s">
        <v>219</v>
      </c>
      <c r="G4" s="291"/>
      <c r="H4" s="291"/>
      <c r="I4" s="291"/>
      <c r="J4" s="291"/>
      <c r="K4" s="291"/>
    </row>
    <row r="5" spans="1:48" ht="15" customHeight="1">
      <c r="A5" s="36" t="s">
        <v>113</v>
      </c>
    </row>
    <row r="6" spans="1:48" ht="15" customHeight="1">
      <c r="B6" s="277" t="s">
        <v>114</v>
      </c>
      <c r="C6" s="278"/>
      <c r="D6" s="278"/>
      <c r="E6" s="278"/>
      <c r="F6" s="278"/>
      <c r="G6" s="278"/>
      <c r="H6" s="279"/>
      <c r="I6" s="296" t="s">
        <v>182</v>
      </c>
      <c r="J6" s="297"/>
      <c r="K6" s="297"/>
      <c r="L6" s="297"/>
      <c r="M6" s="297"/>
      <c r="N6" s="297"/>
      <c r="O6" s="297"/>
      <c r="P6" s="297"/>
      <c r="Q6" s="297"/>
      <c r="R6" s="298"/>
      <c r="S6" s="38" t="s">
        <v>184</v>
      </c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</row>
    <row r="7" spans="1:48" ht="15" customHeight="1">
      <c r="B7" s="121" t="s">
        <v>261</v>
      </c>
      <c r="C7" s="122"/>
      <c r="D7" s="122"/>
      <c r="E7" s="122"/>
      <c r="F7" s="122"/>
      <c r="G7" s="122"/>
      <c r="H7" s="123"/>
      <c r="I7" s="125"/>
      <c r="J7" s="126"/>
      <c r="K7" s="126"/>
      <c r="L7" s="126"/>
      <c r="M7" s="126"/>
      <c r="N7" s="126"/>
      <c r="O7" s="126"/>
      <c r="P7" s="126"/>
      <c r="Q7" s="126"/>
      <c r="R7" s="274"/>
      <c r="S7" s="38"/>
      <c r="T7" s="119" t="s">
        <v>185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</row>
    <row r="8" spans="1:48" ht="3" customHeight="1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1"/>
      <c r="U8" s="41"/>
      <c r="V8" s="41"/>
      <c r="W8" s="41"/>
      <c r="X8" s="41"/>
      <c r="Y8" s="41"/>
      <c r="Z8" s="41"/>
      <c r="AA8" s="41"/>
      <c r="AB8" s="99"/>
      <c r="AC8" s="99"/>
      <c r="AD8" s="99"/>
      <c r="AE8" s="99"/>
      <c r="AF8" s="41"/>
      <c r="AG8" s="41"/>
      <c r="AH8" s="41"/>
      <c r="AI8" s="41"/>
      <c r="AJ8" s="41"/>
      <c r="AK8" s="41"/>
    </row>
    <row r="9" spans="1:48" ht="15" customHeight="1">
      <c r="A9" s="36" t="s">
        <v>49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0"/>
      <c r="T9" s="40"/>
      <c r="U9" s="40"/>
      <c r="V9" s="40"/>
      <c r="W9" s="40"/>
      <c r="X9" s="40"/>
      <c r="Y9" s="40"/>
      <c r="Z9" s="40"/>
      <c r="AA9" s="40"/>
      <c r="AB9" s="99"/>
      <c r="AC9" s="99"/>
      <c r="AD9" s="99"/>
      <c r="AE9" s="99"/>
      <c r="AF9" s="40"/>
      <c r="AG9" s="40"/>
      <c r="AH9" s="40"/>
      <c r="AI9" s="40"/>
      <c r="AJ9" s="42"/>
    </row>
    <row r="10" spans="1:48" ht="15" customHeight="1">
      <c r="B10" s="135" t="s">
        <v>228</v>
      </c>
      <c r="C10" s="136"/>
      <c r="D10" s="136"/>
      <c r="E10" s="136"/>
      <c r="F10" s="136"/>
      <c r="G10" s="136"/>
      <c r="H10" s="137"/>
      <c r="I10" s="125" t="s">
        <v>232</v>
      </c>
      <c r="J10" s="126"/>
      <c r="K10" s="126"/>
      <c r="L10" s="126"/>
      <c r="M10" s="126"/>
      <c r="N10" s="126"/>
      <c r="O10" s="126"/>
      <c r="P10" s="126"/>
      <c r="Q10" s="126"/>
      <c r="R10" s="126"/>
      <c r="S10" s="38"/>
      <c r="T10" s="119" t="s">
        <v>229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O10" s="43" t="s">
        <v>116</v>
      </c>
      <c r="AP10" s="44" t="s">
        <v>139</v>
      </c>
      <c r="AQ10" s="45"/>
      <c r="AR10" s="45"/>
      <c r="AS10" s="45"/>
      <c r="AT10" s="37"/>
      <c r="AU10" s="46"/>
      <c r="AV10" s="46"/>
    </row>
    <row r="11" spans="1:48" ht="30" customHeight="1">
      <c r="B11" s="277" t="s">
        <v>51</v>
      </c>
      <c r="C11" s="278"/>
      <c r="D11" s="278"/>
      <c r="E11" s="278"/>
      <c r="F11" s="278"/>
      <c r="G11" s="278"/>
      <c r="H11" s="279"/>
      <c r="I11" s="293" t="s">
        <v>58</v>
      </c>
      <c r="J11" s="294"/>
      <c r="K11" s="294"/>
      <c r="L11" s="294"/>
      <c r="M11" s="294"/>
      <c r="N11" s="294"/>
      <c r="O11" s="294"/>
      <c r="P11" s="294"/>
      <c r="Q11" s="294"/>
      <c r="R11" s="295"/>
      <c r="S11" s="38"/>
      <c r="T11" s="119" t="s">
        <v>186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</row>
    <row r="12" spans="1:48" ht="15" customHeight="1">
      <c r="B12" s="197" t="s">
        <v>123</v>
      </c>
      <c r="C12" s="199"/>
      <c r="D12" s="199"/>
      <c r="E12" s="199"/>
      <c r="F12" s="199"/>
      <c r="G12" s="199"/>
      <c r="H12" s="198"/>
      <c r="I12" s="125" t="s">
        <v>82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38"/>
      <c r="T12" s="119" t="s">
        <v>187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</row>
    <row r="13" spans="1:48" ht="12" customHeight="1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42"/>
      <c r="AC13" s="42"/>
      <c r="AD13" s="42"/>
      <c r="AE13" s="42"/>
      <c r="AF13" s="37"/>
      <c r="AG13" s="37"/>
      <c r="AH13" s="37"/>
      <c r="AI13" s="37"/>
      <c r="AJ13" s="37"/>
    </row>
    <row r="14" spans="1:48" ht="15" customHeight="1">
      <c r="B14" s="292" t="s">
        <v>199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O14" s="36"/>
      <c r="AP14" s="36"/>
      <c r="AQ14" s="36"/>
      <c r="AR14" s="36"/>
      <c r="AS14" s="36"/>
    </row>
    <row r="15" spans="1:48" ht="15" customHeight="1">
      <c r="A15" s="36" t="s">
        <v>165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88"/>
      <c r="AC15" s="88"/>
      <c r="AD15" s="88"/>
      <c r="AE15" s="88"/>
      <c r="AF15" s="42"/>
      <c r="AG15" s="42"/>
      <c r="AH15" s="42"/>
      <c r="AI15" s="42"/>
      <c r="AJ15" s="42"/>
      <c r="AP15" s="47" t="s">
        <v>174</v>
      </c>
      <c r="AQ15" s="47" t="s">
        <v>175</v>
      </c>
    </row>
    <row r="16" spans="1:48" ht="15" customHeight="1">
      <c r="B16" s="124" t="s">
        <v>166</v>
      </c>
      <c r="C16" s="113"/>
      <c r="D16" s="113"/>
      <c r="E16" s="113" t="s">
        <v>0</v>
      </c>
      <c r="F16" s="113"/>
      <c r="G16" s="113"/>
      <c r="H16" s="113"/>
      <c r="I16" s="114">
        <v>1407</v>
      </c>
      <c r="J16" s="115"/>
      <c r="K16" s="115"/>
      <c r="L16" s="115"/>
      <c r="M16" s="115"/>
      <c r="N16" s="115"/>
      <c r="O16" s="115"/>
      <c r="P16" s="300" t="s">
        <v>52</v>
      </c>
      <c r="Q16" s="300"/>
      <c r="R16" s="301"/>
      <c r="S16" s="38"/>
      <c r="T16" s="119" t="s">
        <v>188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O16" s="48" t="s">
        <v>0</v>
      </c>
      <c r="AP16" s="49">
        <f>IF(P16="kW",I16,I16/860)</f>
        <v>1407</v>
      </c>
      <c r="AQ16" s="50">
        <f>IF(I18="",IF($I$20="プロパン（い号）",AP16/AP18*0.9/0.92,AP16/AP18),IF(P18="kW",I18,I21*I18/3.6))</f>
        <v>1202.5</v>
      </c>
      <c r="AR16" s="51"/>
    </row>
    <row r="17" spans="1:52" ht="15" customHeight="1">
      <c r="B17" s="113"/>
      <c r="C17" s="113"/>
      <c r="D17" s="113"/>
      <c r="E17" s="113" t="s">
        <v>1</v>
      </c>
      <c r="F17" s="113"/>
      <c r="G17" s="113"/>
      <c r="H17" s="113"/>
      <c r="I17" s="302">
        <v>1177</v>
      </c>
      <c r="J17" s="303"/>
      <c r="K17" s="303"/>
      <c r="L17" s="303"/>
      <c r="M17" s="303"/>
      <c r="N17" s="303"/>
      <c r="O17" s="303"/>
      <c r="P17" s="304" t="s">
        <v>52</v>
      </c>
      <c r="Q17" s="304"/>
      <c r="R17" s="305"/>
      <c r="S17" s="38"/>
      <c r="T17" s="119" t="s">
        <v>188</v>
      </c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O17" s="48" t="s">
        <v>1</v>
      </c>
      <c r="AP17" s="49">
        <f>IF(P17="kW",I17,I17/860)</f>
        <v>1177</v>
      </c>
      <c r="AQ17" s="50">
        <f>IF(I19="",IF($I$20="プロパン（い号）",AP17/AQ18*0.9/0.92,AP17/AQ18),IF(P19="kW",I19,I21*I19/3.6))</f>
        <v>1212.7499999999998</v>
      </c>
      <c r="AR17" s="51"/>
    </row>
    <row r="18" spans="1:52" ht="15" customHeight="1">
      <c r="B18" s="280" t="s">
        <v>248</v>
      </c>
      <c r="C18" s="281"/>
      <c r="D18" s="282"/>
      <c r="E18" s="113" t="s">
        <v>0</v>
      </c>
      <c r="F18" s="113"/>
      <c r="G18" s="113"/>
      <c r="H18" s="113"/>
      <c r="I18" s="114">
        <v>96.2</v>
      </c>
      <c r="J18" s="115"/>
      <c r="K18" s="115"/>
      <c r="L18" s="115"/>
      <c r="M18" s="115"/>
      <c r="N18" s="115"/>
      <c r="O18" s="115"/>
      <c r="P18" s="116" t="s">
        <v>253</v>
      </c>
      <c r="Q18" s="117"/>
      <c r="R18" s="118"/>
      <c r="S18" s="38"/>
      <c r="T18" s="119" t="s">
        <v>251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O18" s="108" t="s">
        <v>176</v>
      </c>
      <c r="AP18" s="109" t="e">
        <f>VLOOKUP(AP10&amp;E16&amp;AP25,'&lt;吸収式&gt;マスタ'!$R$6:$S$39,2,0)</f>
        <v>#N/A</v>
      </c>
      <c r="AQ18" s="110" t="e">
        <f>VLOOKUP(AP10&amp;E17&amp;AP25,'&lt;吸収式&gt;マスタ'!$R$6:$S$39,2,0)</f>
        <v>#N/A</v>
      </c>
      <c r="AR18" s="51"/>
    </row>
    <row r="19" spans="1:52" ht="15" customHeight="1">
      <c r="B19" s="283"/>
      <c r="C19" s="284"/>
      <c r="D19" s="285"/>
      <c r="E19" s="113" t="s">
        <v>1</v>
      </c>
      <c r="F19" s="113"/>
      <c r="G19" s="113"/>
      <c r="H19" s="113"/>
      <c r="I19" s="114">
        <v>97.02</v>
      </c>
      <c r="J19" s="115"/>
      <c r="K19" s="115"/>
      <c r="L19" s="115"/>
      <c r="M19" s="115"/>
      <c r="N19" s="115"/>
      <c r="O19" s="115"/>
      <c r="P19" s="116" t="s">
        <v>253</v>
      </c>
      <c r="Q19" s="117"/>
      <c r="R19" s="118"/>
      <c r="S19" s="38"/>
      <c r="T19" s="119" t="s">
        <v>251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P19" s="51"/>
      <c r="AQ19" s="51"/>
      <c r="AR19" s="51"/>
    </row>
    <row r="20" spans="1:52" ht="15" customHeight="1">
      <c r="B20" s="306" t="s">
        <v>168</v>
      </c>
      <c r="C20" s="113"/>
      <c r="D20" s="113"/>
      <c r="E20" s="113"/>
      <c r="F20" s="113"/>
      <c r="G20" s="113"/>
      <c r="H20" s="113"/>
      <c r="I20" s="125" t="s">
        <v>54</v>
      </c>
      <c r="J20" s="126"/>
      <c r="K20" s="126"/>
      <c r="L20" s="126"/>
      <c r="M20" s="126"/>
      <c r="N20" s="126"/>
      <c r="O20" s="126"/>
      <c r="P20" s="126"/>
      <c r="Q20" s="126"/>
      <c r="R20" s="274"/>
      <c r="S20" s="38"/>
      <c r="T20" s="119" t="s">
        <v>226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O20" s="37"/>
      <c r="AP20" s="37"/>
      <c r="AQ20" s="37"/>
      <c r="AR20" s="52"/>
      <c r="AS20" s="42"/>
      <c r="AT20" s="42"/>
      <c r="AU20" s="53"/>
      <c r="AV20" s="53"/>
      <c r="AW20" s="53"/>
      <c r="AX20" s="53"/>
      <c r="AY20" s="53"/>
      <c r="AZ20" s="53"/>
    </row>
    <row r="21" spans="1:52" ht="15" customHeight="1">
      <c r="B21" s="54"/>
      <c r="C21" s="113" t="s">
        <v>200</v>
      </c>
      <c r="D21" s="113"/>
      <c r="E21" s="113"/>
      <c r="F21" s="113"/>
      <c r="G21" s="113"/>
      <c r="H21" s="113"/>
      <c r="I21" s="307">
        <f>IFERROR(VLOOKUP(I20,'&lt;吸収式&gt;マスタ'!F28:G31,2,0),"")</f>
        <v>45</v>
      </c>
      <c r="J21" s="307"/>
      <c r="K21" s="307"/>
      <c r="L21" s="307"/>
      <c r="M21" s="307"/>
      <c r="N21" s="307"/>
      <c r="O21" s="308"/>
      <c r="P21" s="273" t="s">
        <v>201</v>
      </c>
      <c r="Q21" s="309"/>
      <c r="R21" s="309"/>
      <c r="S21" s="40"/>
      <c r="T21" s="119" t="s">
        <v>227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</row>
    <row r="22" spans="1:52" ht="3" customHeight="1">
      <c r="B22" s="80"/>
      <c r="C22" s="80"/>
      <c r="D22" s="80"/>
      <c r="E22" s="80"/>
      <c r="F22" s="80"/>
      <c r="G22" s="80"/>
      <c r="H22" s="80"/>
      <c r="I22" s="55"/>
      <c r="J22" s="55"/>
      <c r="K22" s="55"/>
      <c r="L22" s="55"/>
      <c r="M22" s="55"/>
      <c r="N22" s="55"/>
      <c r="O22" s="55"/>
      <c r="P22" s="80"/>
      <c r="Q22" s="80"/>
      <c r="R22" s="8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2"/>
      <c r="AO22" s="111"/>
      <c r="AP22" s="111"/>
      <c r="AQ22" s="112"/>
    </row>
    <row r="23" spans="1:52" ht="15" customHeight="1">
      <c r="A23" s="36" t="s">
        <v>167</v>
      </c>
      <c r="B23" s="80"/>
      <c r="C23" s="80"/>
      <c r="D23" s="80"/>
      <c r="E23" s="80"/>
      <c r="F23" s="80"/>
      <c r="G23" s="80"/>
      <c r="H23" s="80"/>
      <c r="I23" s="55"/>
      <c r="J23" s="55"/>
      <c r="K23" s="55"/>
      <c r="L23" s="55"/>
      <c r="M23" s="55"/>
      <c r="N23" s="55"/>
      <c r="O23" s="55"/>
      <c r="P23" s="80"/>
      <c r="Q23" s="80"/>
      <c r="R23" s="8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2"/>
      <c r="AO23" s="56" t="s">
        <v>155</v>
      </c>
      <c r="AP23" s="57">
        <f>VLOOKUP(I20,'&lt;吸収式&gt;マスタ'!$F$6:$G$13,2,0)</f>
        <v>10750</v>
      </c>
      <c r="AQ23" s="58" t="str">
        <f>VLOOKUP(I20,'&lt;吸収式&gt;マスタ'!$F$6:$H$13,3,0)</f>
        <v>kcal/㎥</v>
      </c>
      <c r="AR23" s="42"/>
      <c r="AT23" s="36" t="s">
        <v>258</v>
      </c>
    </row>
    <row r="24" spans="1:52" ht="30" customHeight="1">
      <c r="B24" s="135" t="s">
        <v>53</v>
      </c>
      <c r="C24" s="136"/>
      <c r="D24" s="136"/>
      <c r="E24" s="136"/>
      <c r="F24" s="136"/>
      <c r="G24" s="136"/>
      <c r="H24" s="137"/>
      <c r="I24" s="125" t="s">
        <v>3</v>
      </c>
      <c r="J24" s="126"/>
      <c r="K24" s="126"/>
      <c r="L24" s="126"/>
      <c r="M24" s="126"/>
      <c r="N24" s="126"/>
      <c r="O24" s="126"/>
      <c r="P24" s="126"/>
      <c r="Q24" s="126"/>
      <c r="R24" s="274"/>
      <c r="S24" s="38"/>
      <c r="T24" s="310" t="s">
        <v>222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</row>
    <row r="25" spans="1:52" ht="15" customHeight="1">
      <c r="B25" s="277" t="s">
        <v>124</v>
      </c>
      <c r="C25" s="278"/>
      <c r="D25" s="278"/>
      <c r="E25" s="278"/>
      <c r="F25" s="278"/>
      <c r="G25" s="278"/>
      <c r="H25" s="279"/>
      <c r="I25" s="275" t="s">
        <v>259</v>
      </c>
      <c r="J25" s="276"/>
      <c r="K25" s="276"/>
      <c r="L25" s="276"/>
      <c r="M25" s="276"/>
      <c r="N25" s="276"/>
      <c r="O25" s="276"/>
      <c r="P25" s="276"/>
      <c r="Q25" s="276"/>
      <c r="R25" s="276"/>
      <c r="S25" s="38"/>
      <c r="T25" s="119" t="s">
        <v>189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O25" s="59" t="s">
        <v>63</v>
      </c>
      <c r="AP25" s="60" t="str">
        <f>VLOOKUP(I25,'&lt;吸収式&gt;マスタ'!U:V,2,0)</f>
        <v>2010年</v>
      </c>
    </row>
    <row r="26" spans="1:52" ht="15" customHeight="1">
      <c r="B26" s="197" t="s">
        <v>115</v>
      </c>
      <c r="C26" s="199"/>
      <c r="D26" s="199"/>
      <c r="E26" s="199"/>
      <c r="F26" s="199"/>
      <c r="G26" s="199"/>
      <c r="H26" s="198"/>
      <c r="I26" s="130">
        <v>1</v>
      </c>
      <c r="J26" s="131"/>
      <c r="K26" s="131"/>
      <c r="L26" s="131"/>
      <c r="M26" s="131"/>
      <c r="N26" s="131"/>
      <c r="O26" s="132"/>
      <c r="P26" s="127" t="s">
        <v>223</v>
      </c>
      <c r="Q26" s="128"/>
      <c r="R26" s="129"/>
      <c r="S26" s="38"/>
      <c r="T26" s="119" t="s">
        <v>190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P26" s="61"/>
    </row>
    <row r="27" spans="1:52" ht="3" customHeight="1">
      <c r="B27" s="80"/>
      <c r="C27" s="80"/>
      <c r="D27" s="80"/>
      <c r="E27" s="80"/>
      <c r="F27" s="80"/>
      <c r="G27" s="80"/>
      <c r="H27" s="80"/>
      <c r="I27" s="62"/>
      <c r="J27" s="62"/>
      <c r="K27" s="62"/>
      <c r="L27" s="62"/>
      <c r="M27" s="62"/>
      <c r="N27" s="62"/>
      <c r="O27" s="62"/>
      <c r="P27" s="80"/>
      <c r="Q27" s="80"/>
      <c r="R27" s="80"/>
      <c r="S27" s="63"/>
      <c r="T27" s="63"/>
      <c r="U27" s="63"/>
      <c r="V27" s="63"/>
      <c r="W27" s="64"/>
      <c r="X27" s="64"/>
      <c r="Y27" s="64"/>
      <c r="Z27" s="64"/>
      <c r="AA27" s="64"/>
      <c r="AB27" s="100"/>
      <c r="AC27" s="100"/>
      <c r="AD27" s="100"/>
      <c r="AE27" s="100"/>
      <c r="AF27" s="64"/>
      <c r="AG27" s="64"/>
      <c r="AH27" s="63"/>
      <c r="AI27" s="63"/>
      <c r="AJ27" s="80"/>
    </row>
    <row r="28" spans="1:52" ht="15" customHeight="1">
      <c r="A28" s="36" t="s">
        <v>170</v>
      </c>
      <c r="B28" s="80"/>
      <c r="C28" s="80"/>
      <c r="D28" s="80"/>
      <c r="E28" s="80"/>
      <c r="F28" s="80"/>
      <c r="G28" s="80"/>
      <c r="H28" s="80"/>
      <c r="I28" s="65"/>
      <c r="J28" s="65"/>
      <c r="K28" s="65"/>
      <c r="L28" s="65"/>
      <c r="M28" s="65"/>
      <c r="N28" s="65"/>
      <c r="O28" s="65"/>
      <c r="P28" s="66"/>
      <c r="Q28" s="66"/>
      <c r="R28" s="66"/>
      <c r="S28" s="63"/>
      <c r="T28" s="63"/>
      <c r="U28" s="63"/>
      <c r="V28" s="63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3"/>
      <c r="AI28" s="63"/>
      <c r="AJ28" s="80"/>
    </row>
    <row r="29" spans="1:52" ht="16.5" customHeight="1">
      <c r="B29" s="311" t="s">
        <v>171</v>
      </c>
      <c r="C29" s="311"/>
      <c r="D29" s="311"/>
      <c r="E29" s="311"/>
      <c r="F29" s="311"/>
      <c r="G29" s="311"/>
      <c r="H29" s="311"/>
      <c r="I29" s="125" t="s">
        <v>105</v>
      </c>
      <c r="J29" s="126"/>
      <c r="K29" s="126"/>
      <c r="L29" s="126"/>
      <c r="M29" s="126"/>
      <c r="N29" s="126"/>
      <c r="O29" s="126"/>
      <c r="P29" s="126"/>
      <c r="Q29" s="126"/>
      <c r="R29" s="274"/>
      <c r="S29" s="38"/>
      <c r="T29" s="119" t="s">
        <v>191</v>
      </c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</row>
    <row r="30" spans="1:52" ht="15" customHeight="1">
      <c r="B30" s="113" t="s">
        <v>99</v>
      </c>
      <c r="C30" s="113"/>
      <c r="D30" s="113"/>
      <c r="E30" s="264" t="s">
        <v>125</v>
      </c>
      <c r="F30" s="264"/>
      <c r="G30" s="264"/>
      <c r="H30" s="264"/>
      <c r="I30" s="265" t="s">
        <v>134</v>
      </c>
      <c r="J30" s="266"/>
      <c r="K30" s="266"/>
      <c r="L30" s="266"/>
      <c r="M30" s="266"/>
      <c r="N30" s="266"/>
      <c r="O30" s="266"/>
      <c r="P30" s="266"/>
      <c r="Q30" s="266"/>
      <c r="R30" s="267"/>
      <c r="S30" s="38"/>
      <c r="T30" s="119" t="str">
        <f>IF(I29="該当","←「有り」「無し（一定値）」から選択","←入力不要")</f>
        <v>←「有り」「無し（一定値）」から選択</v>
      </c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O30" s="59" t="s">
        <v>125</v>
      </c>
      <c r="AP30" s="67">
        <f>IF($I$30="有り",0.5,1)</f>
        <v>0.5</v>
      </c>
    </row>
    <row r="31" spans="1:52" ht="30" customHeight="1">
      <c r="B31" s="113"/>
      <c r="C31" s="113"/>
      <c r="D31" s="113"/>
      <c r="E31" s="268" t="s">
        <v>246</v>
      </c>
      <c r="F31" s="269"/>
      <c r="G31" s="269"/>
      <c r="H31" s="269"/>
      <c r="I31" s="270">
        <v>90</v>
      </c>
      <c r="J31" s="271"/>
      <c r="K31" s="271"/>
      <c r="L31" s="271"/>
      <c r="M31" s="271"/>
      <c r="N31" s="271"/>
      <c r="O31" s="271"/>
      <c r="P31" s="272" t="s">
        <v>92</v>
      </c>
      <c r="Q31" s="272"/>
      <c r="R31" s="273"/>
      <c r="S31" s="38"/>
      <c r="T31" s="119" t="str">
        <f>IF(I29="該当","←水頭損失を入力（半角）","←入力不要")</f>
        <v>←水頭損失を入力（半角）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O31" s="68" t="s">
        <v>163</v>
      </c>
      <c r="AP31" s="69">
        <f>ROUNDDOWN(1000*I32/3600*(I31+196)/0.8/0.93/1000,1)</f>
        <v>42.7</v>
      </c>
    </row>
    <row r="32" spans="1:52" ht="15" customHeight="1">
      <c r="B32" s="113"/>
      <c r="C32" s="113"/>
      <c r="D32" s="113"/>
      <c r="E32" s="113" t="s">
        <v>87</v>
      </c>
      <c r="F32" s="113"/>
      <c r="G32" s="113"/>
      <c r="H32" s="113"/>
      <c r="I32" s="270">
        <v>400</v>
      </c>
      <c r="J32" s="271"/>
      <c r="K32" s="271"/>
      <c r="L32" s="271"/>
      <c r="M32" s="271"/>
      <c r="N32" s="271"/>
      <c r="O32" s="271"/>
      <c r="P32" s="272" t="s">
        <v>230</v>
      </c>
      <c r="Q32" s="272"/>
      <c r="R32" s="273"/>
      <c r="S32" s="38"/>
      <c r="T32" s="119" t="str">
        <f>IF(I29="該当","←冷却水流量を入力（半角）","←入力不要")</f>
        <v>←冷却水流量を入力（半角）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O32" s="59" t="s">
        <v>93</v>
      </c>
      <c r="AP32" s="70">
        <f>ROUNDDOWN(AP31*AP30,2)</f>
        <v>21.35</v>
      </c>
    </row>
    <row r="33" spans="1:46" ht="3" customHeight="1">
      <c r="B33" s="71"/>
      <c r="C33" s="71"/>
      <c r="D33" s="71"/>
      <c r="E33" s="72"/>
      <c r="F33" s="72"/>
      <c r="G33" s="72"/>
      <c r="H33" s="72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80"/>
      <c r="T33" s="80"/>
      <c r="U33" s="80"/>
      <c r="V33" s="80"/>
      <c r="W33" s="74"/>
      <c r="X33" s="74"/>
      <c r="Y33" s="74"/>
      <c r="Z33" s="74"/>
      <c r="AA33" s="74"/>
      <c r="AB33" s="42"/>
      <c r="AC33" s="42"/>
      <c r="AD33" s="42"/>
      <c r="AE33" s="42"/>
      <c r="AF33" s="74"/>
      <c r="AG33" s="74"/>
      <c r="AH33" s="80"/>
      <c r="AI33" s="80"/>
      <c r="AJ33" s="80"/>
    </row>
    <row r="34" spans="1:46" ht="15" customHeight="1">
      <c r="A34" s="36" t="s">
        <v>169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80"/>
      <c r="AC34" s="80"/>
      <c r="AD34" s="80"/>
      <c r="AE34" s="80"/>
      <c r="AF34" s="251"/>
      <c r="AG34" s="251"/>
      <c r="AH34" s="251"/>
      <c r="AI34" s="251"/>
      <c r="AJ34" s="251"/>
    </row>
    <row r="35" spans="1:46" ht="30" customHeight="1">
      <c r="B35" s="188" t="s">
        <v>147</v>
      </c>
      <c r="C35" s="189"/>
      <c r="D35" s="190"/>
      <c r="E35" s="135" t="s">
        <v>55</v>
      </c>
      <c r="F35" s="137"/>
      <c r="G35" s="135" t="s">
        <v>13</v>
      </c>
      <c r="H35" s="136"/>
      <c r="I35" s="137"/>
      <c r="J35" s="245" t="s">
        <v>75</v>
      </c>
      <c r="K35" s="246"/>
      <c r="L35" s="247"/>
      <c r="M35" s="248" t="s">
        <v>127</v>
      </c>
      <c r="N35" s="249"/>
      <c r="O35" s="249"/>
      <c r="P35" s="250"/>
      <c r="Q35" s="135" t="s">
        <v>122</v>
      </c>
      <c r="R35" s="136"/>
      <c r="S35" s="137"/>
      <c r="T35" s="135" t="s">
        <v>106</v>
      </c>
      <c r="U35" s="136"/>
      <c r="V35" s="137"/>
      <c r="W35" s="135" t="s">
        <v>56</v>
      </c>
      <c r="X35" s="136"/>
      <c r="Y35" s="136"/>
      <c r="Z35" s="136"/>
      <c r="AA35" s="137"/>
      <c r="AB35" s="306" t="s">
        <v>240</v>
      </c>
      <c r="AC35" s="306"/>
      <c r="AD35" s="306"/>
      <c r="AE35" s="306"/>
    </row>
    <row r="36" spans="1:46" ht="15" customHeight="1" thickBot="1">
      <c r="B36" s="191"/>
      <c r="C36" s="192"/>
      <c r="D36" s="193"/>
      <c r="E36" s="197"/>
      <c r="F36" s="198"/>
      <c r="G36" s="197"/>
      <c r="H36" s="199"/>
      <c r="I36" s="198"/>
      <c r="J36" s="252" t="s">
        <v>156</v>
      </c>
      <c r="K36" s="253"/>
      <c r="L36" s="254"/>
      <c r="M36" s="255" t="s">
        <v>110</v>
      </c>
      <c r="N36" s="256"/>
      <c r="O36" s="256"/>
      <c r="P36" s="257"/>
      <c r="Q36" s="197"/>
      <c r="R36" s="199"/>
      <c r="S36" s="198"/>
      <c r="T36" s="255" t="s">
        <v>107</v>
      </c>
      <c r="U36" s="256"/>
      <c r="V36" s="257"/>
      <c r="W36" s="258" t="s">
        <v>242</v>
      </c>
      <c r="X36" s="259"/>
      <c r="Y36" s="259"/>
      <c r="Z36" s="259"/>
      <c r="AA36" s="260"/>
      <c r="AB36" s="312" t="s">
        <v>241</v>
      </c>
      <c r="AC36" s="312"/>
      <c r="AD36" s="312"/>
      <c r="AE36" s="312"/>
      <c r="AO36" s="59" t="s">
        <v>78</v>
      </c>
      <c r="AP36" s="67" t="s">
        <v>79</v>
      </c>
      <c r="AQ36" s="36"/>
      <c r="AR36" s="36"/>
      <c r="AS36" s="47" t="s">
        <v>164</v>
      </c>
    </row>
    <row r="37" spans="1:46" ht="15" customHeight="1" thickTop="1">
      <c r="B37" s="191"/>
      <c r="C37" s="192"/>
      <c r="D37" s="193"/>
      <c r="E37" s="173">
        <v>4</v>
      </c>
      <c r="F37" s="174"/>
      <c r="G37" s="175" t="str">
        <f>VLOOKUP(E37&amp;$I$24,'&lt;吸収式&gt;マスタ'!Z:AC,4,0)</f>
        <v>暖房</v>
      </c>
      <c r="H37" s="176"/>
      <c r="I37" s="177"/>
      <c r="J37" s="162">
        <f>IFERROR(IF(G37="暖房",$AQ$17,$AQ$16),"")</f>
        <v>1212.7499999999998</v>
      </c>
      <c r="K37" s="163"/>
      <c r="L37" s="164"/>
      <c r="M37" s="165">
        <f>IFERROR(IF(G37="暖房",AP37,AO37),"")</f>
        <v>0.16</v>
      </c>
      <c r="N37" s="166"/>
      <c r="O37" s="166"/>
      <c r="P37" s="167"/>
      <c r="Q37" s="168">
        <f>IFERROR(VLOOKUP(E37&amp;G37&amp;$I$24&amp;$I$6,'&lt;吸収式&gt;マスタ'!$AI$8:$AP$151,8,0),"")</f>
        <v>0.9</v>
      </c>
      <c r="R37" s="169"/>
      <c r="S37" s="170"/>
      <c r="T37" s="234">
        <v>300</v>
      </c>
      <c r="U37" s="235"/>
      <c r="V37" s="235"/>
      <c r="W37" s="261">
        <f>IFERROR(ROUNDDOWN(AS37*M37*T37*$I$26*'&lt;吸収式&gt;マスタ'!$F$21/$I$21,1),"")</f>
        <v>5174.3999999999996</v>
      </c>
      <c r="X37" s="262"/>
      <c r="Y37" s="262"/>
      <c r="Z37" s="262"/>
      <c r="AA37" s="263"/>
      <c r="AB37" s="313">
        <f>IFERROR(ROUNDDOWN(AS37*M37*T37*$I$26*'&lt;吸収式&gt;マスタ'!$F$21/$I$21,1)*VLOOKUP($I$20,'&lt;吸収式&gt;マスタ'!$F$28:$I$31,3,FALSE),"")</f>
        <v>5174.3999999999996</v>
      </c>
      <c r="AC37" s="313"/>
      <c r="AD37" s="313"/>
      <c r="AE37" s="314"/>
      <c r="AF37" s="133" t="s">
        <v>224</v>
      </c>
      <c r="AG37" s="134"/>
      <c r="AH37" s="134"/>
      <c r="AI37" s="134"/>
      <c r="AJ37" s="134"/>
      <c r="AK37" s="134"/>
      <c r="AL37" s="134"/>
      <c r="AO37" s="75">
        <f>VLOOKUP(E37&amp;$I$24,'&lt;吸収式&gt;マスタ'!$Z$8:$AB$31,2,0)</f>
        <v>0</v>
      </c>
      <c r="AP37" s="76">
        <f>VLOOKUP(E37&amp;$I$24,'&lt;吸収式&gt;マスタ'!$Z$8:$AB$31,3,0)</f>
        <v>0.16</v>
      </c>
      <c r="AQ37" s="77">
        <f>IF(G37="暖房",AP37,AO37)</f>
        <v>0.16</v>
      </c>
      <c r="AR37" s="77" t="str">
        <f>IF(AQ37=M37,"○","")</f>
        <v>○</v>
      </c>
      <c r="AS37" s="70">
        <f t="shared" ref="AS37:AS48" si="0">ROUNDDOWN(J37/Q37,1)</f>
        <v>1347.5</v>
      </c>
    </row>
    <row r="38" spans="1:46" ht="15" customHeight="1">
      <c r="B38" s="191"/>
      <c r="C38" s="192"/>
      <c r="D38" s="193"/>
      <c r="E38" s="173">
        <v>5</v>
      </c>
      <c r="F38" s="174"/>
      <c r="G38" s="175" t="str">
        <f>VLOOKUP(E38&amp;$I$24,'&lt;吸収式&gt;マスタ'!Z:AC,4,0)</f>
        <v>冷房</v>
      </c>
      <c r="H38" s="176"/>
      <c r="I38" s="177"/>
      <c r="J38" s="162">
        <f t="shared" ref="J38:J48" si="1">IFERROR(IF(G38="暖房",$AQ$17,$AQ$16),"")</f>
        <v>1202.5</v>
      </c>
      <c r="K38" s="163"/>
      <c r="L38" s="164"/>
      <c r="M38" s="165">
        <f t="shared" ref="M38:M48" si="2">IFERROR(IF(G38="暖房",AP38,AO38),"")</f>
        <v>0.29599999999999999</v>
      </c>
      <c r="N38" s="166"/>
      <c r="O38" s="166"/>
      <c r="P38" s="167"/>
      <c r="Q38" s="168">
        <f>IFERROR(VLOOKUP(E38&amp;G38&amp;$I$24&amp;$I$6,'&lt;吸収式&gt;マスタ'!$AI$8:$AP$151,8,0),"")</f>
        <v>0.93</v>
      </c>
      <c r="R38" s="169"/>
      <c r="S38" s="170"/>
      <c r="T38" s="234">
        <v>300</v>
      </c>
      <c r="U38" s="235"/>
      <c r="V38" s="235"/>
      <c r="W38" s="152">
        <f>IFERROR(ROUNDDOWN(AS38*M38*T38*$I$26*'&lt;吸収式&gt;マスタ'!$F$21/$I$21,1),"")</f>
        <v>9185.4</v>
      </c>
      <c r="X38" s="153"/>
      <c r="Y38" s="153"/>
      <c r="Z38" s="153"/>
      <c r="AA38" s="154"/>
      <c r="AB38" s="236">
        <f>IFERROR(ROUNDDOWN(AS38*M38*T38*$I$26*'&lt;吸収式&gt;マスタ'!$F$21/$I$21,1)*VLOOKUP($I$20,'&lt;吸収式&gt;マスタ'!$F$28:$I$31,3,FALSE),"")</f>
        <v>9185.4</v>
      </c>
      <c r="AC38" s="236"/>
      <c r="AD38" s="236"/>
      <c r="AE38" s="237"/>
      <c r="AF38" s="133"/>
      <c r="AG38" s="134"/>
      <c r="AH38" s="134"/>
      <c r="AI38" s="134"/>
      <c r="AJ38" s="134"/>
      <c r="AK38" s="134"/>
      <c r="AL38" s="134"/>
      <c r="AO38" s="75">
        <f>VLOOKUP(E38&amp;$I$24,'&lt;吸収式&gt;マスタ'!$Z$8:$AB$31,2,0)</f>
        <v>0.29599999999999999</v>
      </c>
      <c r="AP38" s="76">
        <f>VLOOKUP(E38&amp;$I$24,'&lt;吸収式&gt;マスタ'!$Z$8:$AB$31,3,0)</f>
        <v>0</v>
      </c>
      <c r="AQ38" s="77">
        <f t="shared" ref="AQ38:AQ48" si="3">IF(G38="暖房",AP38,AO38)</f>
        <v>0.29599999999999999</v>
      </c>
      <c r="AR38" s="77" t="str">
        <f t="shared" ref="AR38:AR48" si="4">IF(AQ38=M38,"○","")</f>
        <v>○</v>
      </c>
      <c r="AS38" s="70">
        <f t="shared" si="0"/>
        <v>1293</v>
      </c>
    </row>
    <row r="39" spans="1:46" ht="15" customHeight="1">
      <c r="B39" s="191"/>
      <c r="C39" s="192"/>
      <c r="D39" s="193"/>
      <c r="E39" s="173">
        <v>6</v>
      </c>
      <c r="F39" s="174"/>
      <c r="G39" s="175" t="str">
        <f>VLOOKUP(E39&amp;$I$24,'&lt;吸収式&gt;マスタ'!Z:AC,4,0)</f>
        <v>冷房</v>
      </c>
      <c r="H39" s="176"/>
      <c r="I39" s="177"/>
      <c r="J39" s="162">
        <f t="shared" si="1"/>
        <v>1202.5</v>
      </c>
      <c r="K39" s="163"/>
      <c r="L39" s="164"/>
      <c r="M39" s="165">
        <f t="shared" si="2"/>
        <v>0.435</v>
      </c>
      <c r="N39" s="166"/>
      <c r="O39" s="166"/>
      <c r="P39" s="167"/>
      <c r="Q39" s="168">
        <f>IFERROR(VLOOKUP(E39&amp;G39&amp;$I$24&amp;$I$6,'&lt;吸収式&gt;マスタ'!$AI$8:$AP$151,8,0),"")</f>
        <v>1.03</v>
      </c>
      <c r="R39" s="169"/>
      <c r="S39" s="170"/>
      <c r="T39" s="234">
        <v>300</v>
      </c>
      <c r="U39" s="235"/>
      <c r="V39" s="235"/>
      <c r="W39" s="152">
        <f>IFERROR(ROUNDDOWN(AS39*M39*T39*$I$26*'&lt;吸収式&gt;マスタ'!$F$21/$I$21,1),"")</f>
        <v>12187.6</v>
      </c>
      <c r="X39" s="153"/>
      <c r="Y39" s="153"/>
      <c r="Z39" s="153"/>
      <c r="AA39" s="154"/>
      <c r="AB39" s="236">
        <f>IFERROR(ROUNDDOWN(AS39*M39*T39*$I$26*'&lt;吸収式&gt;マスタ'!$F$21/$I$21,1)*VLOOKUP($I$20,'&lt;吸収式&gt;マスタ'!$F$28:$I$31,3,FALSE),"")</f>
        <v>12187.6</v>
      </c>
      <c r="AC39" s="236"/>
      <c r="AD39" s="236"/>
      <c r="AE39" s="237"/>
      <c r="AF39" s="155"/>
      <c r="AG39" s="156"/>
      <c r="AH39" s="156"/>
      <c r="AI39" s="156"/>
      <c r="AJ39" s="156"/>
      <c r="AO39" s="75">
        <f>VLOOKUP(E39&amp;$I$24,'&lt;吸収式&gt;マスタ'!$Z$8:$AB$31,2,0)</f>
        <v>0.435</v>
      </c>
      <c r="AP39" s="76">
        <f>VLOOKUP(E39&amp;$I$24,'&lt;吸収式&gt;マスタ'!$Z$8:$AB$31,3,0)</f>
        <v>0</v>
      </c>
      <c r="AQ39" s="77">
        <f t="shared" si="3"/>
        <v>0.435</v>
      </c>
      <c r="AR39" s="77" t="str">
        <f t="shared" si="4"/>
        <v>○</v>
      </c>
      <c r="AS39" s="70">
        <f t="shared" si="0"/>
        <v>1167.4000000000001</v>
      </c>
    </row>
    <row r="40" spans="1:46" ht="15" customHeight="1">
      <c r="B40" s="191"/>
      <c r="C40" s="192"/>
      <c r="D40" s="193"/>
      <c r="E40" s="173">
        <v>7</v>
      </c>
      <c r="F40" s="174"/>
      <c r="G40" s="175" t="str">
        <f>VLOOKUP(E40&amp;$I$24,'&lt;吸収式&gt;マスタ'!Z:AC,4,0)</f>
        <v>冷房</v>
      </c>
      <c r="H40" s="176"/>
      <c r="I40" s="177"/>
      <c r="J40" s="162">
        <f t="shared" si="1"/>
        <v>1202.5</v>
      </c>
      <c r="K40" s="163"/>
      <c r="L40" s="164"/>
      <c r="M40" s="165">
        <f t="shared" si="2"/>
        <v>0.64100000000000001</v>
      </c>
      <c r="N40" s="166"/>
      <c r="O40" s="166"/>
      <c r="P40" s="167"/>
      <c r="Q40" s="168">
        <f>IFERROR(VLOOKUP(E40&amp;G40&amp;$I$24&amp;$I$6,'&lt;吸収式&gt;マスタ'!$AI$8:$AP$151,8,0),"")</f>
        <v>1.02</v>
      </c>
      <c r="R40" s="169"/>
      <c r="S40" s="170"/>
      <c r="T40" s="234">
        <v>300</v>
      </c>
      <c r="U40" s="235"/>
      <c r="V40" s="235"/>
      <c r="W40" s="152">
        <f>IFERROR(ROUNDDOWN(AS40*M40*T40*$I$26*'&lt;吸収式&gt;マスタ'!$F$21/$I$21,1),"")</f>
        <v>18136.099999999999</v>
      </c>
      <c r="X40" s="153"/>
      <c r="Y40" s="153"/>
      <c r="Z40" s="153"/>
      <c r="AA40" s="154"/>
      <c r="AB40" s="236">
        <f>IFERROR(ROUNDDOWN(AS40*M40*T40*$I$26*'&lt;吸収式&gt;マスタ'!$F$21/$I$21,1)*VLOOKUP($I$20,'&lt;吸収式&gt;マスタ'!$F$28:$I$31,3,FALSE),"")</f>
        <v>18136.099999999999</v>
      </c>
      <c r="AC40" s="236"/>
      <c r="AD40" s="236"/>
      <c r="AE40" s="237"/>
      <c r="AF40" s="133" t="s">
        <v>245</v>
      </c>
      <c r="AG40" s="134"/>
      <c r="AH40" s="134"/>
      <c r="AI40" s="134"/>
      <c r="AJ40" s="134"/>
      <c r="AK40" s="134"/>
      <c r="AL40" s="134"/>
      <c r="AO40" s="75">
        <f>VLOOKUP(E40&amp;$I$24,'&lt;吸収式&gt;マスタ'!$Z$8:$AB$31,2,0)</f>
        <v>0.64100000000000001</v>
      </c>
      <c r="AP40" s="76">
        <f>VLOOKUP(E40&amp;$I$24,'&lt;吸収式&gt;マスタ'!$Z$8:$AB$31,3,0)</f>
        <v>0</v>
      </c>
      <c r="AQ40" s="77">
        <f t="shared" si="3"/>
        <v>0.64100000000000001</v>
      </c>
      <c r="AR40" s="77" t="str">
        <f t="shared" si="4"/>
        <v>○</v>
      </c>
      <c r="AS40" s="70">
        <f t="shared" si="0"/>
        <v>1178.9000000000001</v>
      </c>
    </row>
    <row r="41" spans="1:46" ht="15" customHeight="1">
      <c r="B41" s="191"/>
      <c r="C41" s="192"/>
      <c r="D41" s="193"/>
      <c r="E41" s="173">
        <v>8</v>
      </c>
      <c r="F41" s="174"/>
      <c r="G41" s="175" t="str">
        <f>VLOOKUP(E41&amp;$I$24,'&lt;吸収式&gt;マスタ'!Z:AC,4,0)</f>
        <v>冷房</v>
      </c>
      <c r="H41" s="176"/>
      <c r="I41" s="177"/>
      <c r="J41" s="162">
        <f t="shared" si="1"/>
        <v>1202.5</v>
      </c>
      <c r="K41" s="163"/>
      <c r="L41" s="164"/>
      <c r="M41" s="165">
        <f t="shared" si="2"/>
        <v>0.69299999999999995</v>
      </c>
      <c r="N41" s="166"/>
      <c r="O41" s="166"/>
      <c r="P41" s="167"/>
      <c r="Q41" s="168">
        <f>IFERROR(VLOOKUP(E41&amp;G41&amp;$I$24&amp;$I$6,'&lt;吸収式&gt;マスタ'!$AI$8:$AP$151,8,0),"")</f>
        <v>1.01</v>
      </c>
      <c r="R41" s="169"/>
      <c r="S41" s="170"/>
      <c r="T41" s="234">
        <v>300</v>
      </c>
      <c r="U41" s="235"/>
      <c r="V41" s="235"/>
      <c r="W41" s="152">
        <f>IFERROR(ROUNDDOWN(AS41*M41*T41*$I$26*'&lt;吸収式&gt;マスタ'!$F$21/$I$21,1),"")</f>
        <v>19800.3</v>
      </c>
      <c r="X41" s="153"/>
      <c r="Y41" s="153"/>
      <c r="Z41" s="153"/>
      <c r="AA41" s="154"/>
      <c r="AB41" s="236">
        <f>IFERROR(ROUNDDOWN(AS41*M41*T41*$I$26*'&lt;吸収式&gt;マスタ'!$F$21/$I$21,1)*VLOOKUP($I$20,'&lt;吸収式&gt;マスタ'!$F$28:$I$31,3,FALSE),"")</f>
        <v>19800.3</v>
      </c>
      <c r="AC41" s="236"/>
      <c r="AD41" s="236"/>
      <c r="AE41" s="237"/>
      <c r="AF41" s="133"/>
      <c r="AG41" s="134"/>
      <c r="AH41" s="134"/>
      <c r="AI41" s="134"/>
      <c r="AJ41" s="134"/>
      <c r="AK41" s="134"/>
      <c r="AL41" s="134"/>
      <c r="AO41" s="75">
        <f>VLOOKUP(E41&amp;$I$24,'&lt;吸収式&gt;マスタ'!$Z$8:$AB$31,2,0)</f>
        <v>0.69299999999999995</v>
      </c>
      <c r="AP41" s="76">
        <f>VLOOKUP(E41&amp;$I$24,'&lt;吸収式&gt;マスタ'!$Z$8:$AB$31,3,0)</f>
        <v>0</v>
      </c>
      <c r="AQ41" s="77">
        <f t="shared" si="3"/>
        <v>0.69299999999999995</v>
      </c>
      <c r="AR41" s="77" t="str">
        <f t="shared" si="4"/>
        <v>○</v>
      </c>
      <c r="AS41" s="70">
        <f t="shared" si="0"/>
        <v>1190.5</v>
      </c>
    </row>
    <row r="42" spans="1:46" ht="15" customHeight="1">
      <c r="B42" s="191"/>
      <c r="C42" s="192"/>
      <c r="D42" s="193"/>
      <c r="E42" s="173">
        <v>9</v>
      </c>
      <c r="F42" s="174"/>
      <c r="G42" s="175" t="str">
        <f>VLOOKUP(E42&amp;$I$24,'&lt;吸収式&gt;マスタ'!Z:AC,4,0)</f>
        <v>冷房</v>
      </c>
      <c r="H42" s="176"/>
      <c r="I42" s="177"/>
      <c r="J42" s="162">
        <f t="shared" si="1"/>
        <v>1202.5</v>
      </c>
      <c r="K42" s="163"/>
      <c r="L42" s="164"/>
      <c r="M42" s="165">
        <f t="shared" si="2"/>
        <v>0.47</v>
      </c>
      <c r="N42" s="166"/>
      <c r="O42" s="166"/>
      <c r="P42" s="167"/>
      <c r="Q42" s="168">
        <f>IFERROR(VLOOKUP(E42&amp;G42&amp;$I$24&amp;$I$6,'&lt;吸収式&gt;マスタ'!$AI$8:$AP$151,8,0),"")</f>
        <v>1.03</v>
      </c>
      <c r="R42" s="169"/>
      <c r="S42" s="170"/>
      <c r="T42" s="234">
        <v>300</v>
      </c>
      <c r="U42" s="235"/>
      <c r="V42" s="235"/>
      <c r="W42" s="152">
        <f>IFERROR(ROUNDDOWN(AS42*M42*T42*$I$26*'&lt;吸収式&gt;マスタ'!$F$21/$I$21,1),"")</f>
        <v>13168.2</v>
      </c>
      <c r="X42" s="153"/>
      <c r="Y42" s="153"/>
      <c r="Z42" s="153"/>
      <c r="AA42" s="154"/>
      <c r="AB42" s="236">
        <f>IFERROR(ROUNDDOWN(AS42*M42*T42*$I$26*'&lt;吸収式&gt;マスタ'!$F$21/$I$21,1)*VLOOKUP($I$20,'&lt;吸収式&gt;マスタ'!$F$28:$I$31,3,FALSE),"")</f>
        <v>13168.2</v>
      </c>
      <c r="AC42" s="236"/>
      <c r="AD42" s="236"/>
      <c r="AE42" s="237"/>
      <c r="AF42" s="133"/>
      <c r="AG42" s="134"/>
      <c r="AH42" s="134"/>
      <c r="AI42" s="134"/>
      <c r="AJ42" s="134"/>
      <c r="AK42" s="134"/>
      <c r="AL42" s="134"/>
      <c r="AO42" s="75">
        <f>VLOOKUP(E42&amp;$I$24,'&lt;吸収式&gt;マスタ'!$Z$8:$AB$31,2,0)</f>
        <v>0.47</v>
      </c>
      <c r="AP42" s="76">
        <f>VLOOKUP(E42&amp;$I$24,'&lt;吸収式&gt;マスタ'!$Z$8:$AB$31,3,0)</f>
        <v>0</v>
      </c>
      <c r="AQ42" s="77">
        <f t="shared" si="3"/>
        <v>0.47</v>
      </c>
      <c r="AR42" s="77" t="str">
        <f t="shared" si="4"/>
        <v>○</v>
      </c>
      <c r="AS42" s="70">
        <f t="shared" si="0"/>
        <v>1167.4000000000001</v>
      </c>
    </row>
    <row r="43" spans="1:46" ht="15" customHeight="1">
      <c r="B43" s="191"/>
      <c r="C43" s="192"/>
      <c r="D43" s="193"/>
      <c r="E43" s="173">
        <v>10</v>
      </c>
      <c r="F43" s="174"/>
      <c r="G43" s="175" t="str">
        <f>VLOOKUP(E43&amp;$I$24,'&lt;吸収式&gt;マスタ'!Z:AC,4,0)</f>
        <v>冷房</v>
      </c>
      <c r="H43" s="176"/>
      <c r="I43" s="177"/>
      <c r="J43" s="162">
        <f t="shared" si="1"/>
        <v>1202.5</v>
      </c>
      <c r="K43" s="163"/>
      <c r="L43" s="164"/>
      <c r="M43" s="165">
        <f t="shared" si="2"/>
        <v>0.36399999999999999</v>
      </c>
      <c r="N43" s="166"/>
      <c r="O43" s="166"/>
      <c r="P43" s="167"/>
      <c r="Q43" s="168">
        <f>IFERROR(VLOOKUP(E43&amp;G43&amp;$I$24&amp;$I$6,'&lt;吸収式&gt;マスタ'!$AI$8:$AP$151,8,0),"")</f>
        <v>1.03</v>
      </c>
      <c r="R43" s="169"/>
      <c r="S43" s="170"/>
      <c r="T43" s="234">
        <v>300</v>
      </c>
      <c r="U43" s="235"/>
      <c r="V43" s="235"/>
      <c r="W43" s="152">
        <f>IFERROR(ROUNDDOWN(AS43*M43*T43*$I$26*'&lt;吸収式&gt;マスタ'!$F$21/$I$21,1),"")</f>
        <v>10198.4</v>
      </c>
      <c r="X43" s="153"/>
      <c r="Y43" s="153"/>
      <c r="Z43" s="153"/>
      <c r="AA43" s="154"/>
      <c r="AB43" s="236">
        <f>IFERROR(ROUNDDOWN(AS43*M43*T43*$I$26*'&lt;吸収式&gt;マスタ'!$F$21/$I$21,1)*VLOOKUP($I$20,'&lt;吸収式&gt;マスタ'!$F$28:$I$31,3,FALSE),"")</f>
        <v>10198.4</v>
      </c>
      <c r="AC43" s="236"/>
      <c r="AD43" s="236"/>
      <c r="AE43" s="237"/>
      <c r="AF43" s="133"/>
      <c r="AG43" s="134"/>
      <c r="AH43" s="134"/>
      <c r="AI43" s="134"/>
      <c r="AJ43" s="134"/>
      <c r="AK43" s="134"/>
      <c r="AL43" s="134"/>
      <c r="AO43" s="75">
        <f>VLOOKUP(E43&amp;$I$24,'&lt;吸収式&gt;マスタ'!$Z$8:$AB$31,2,0)</f>
        <v>0.36399999999999999</v>
      </c>
      <c r="AP43" s="76">
        <f>VLOOKUP(E43&amp;$I$24,'&lt;吸収式&gt;マスタ'!$Z$8:$AB$31,3,0)</f>
        <v>0</v>
      </c>
      <c r="AQ43" s="77">
        <f t="shared" si="3"/>
        <v>0.36399999999999999</v>
      </c>
      <c r="AR43" s="77" t="str">
        <f t="shared" si="4"/>
        <v>○</v>
      </c>
      <c r="AS43" s="70">
        <f t="shared" si="0"/>
        <v>1167.4000000000001</v>
      </c>
      <c r="AT43" s="37"/>
    </row>
    <row r="44" spans="1:46" ht="15" customHeight="1">
      <c r="B44" s="191"/>
      <c r="C44" s="192"/>
      <c r="D44" s="193"/>
      <c r="E44" s="173">
        <v>11</v>
      </c>
      <c r="F44" s="174"/>
      <c r="G44" s="175" t="str">
        <f>VLOOKUP(E44&amp;$I$24,'&lt;吸収式&gt;マスタ'!Z:AC,4,0)</f>
        <v>暖房</v>
      </c>
      <c r="H44" s="176"/>
      <c r="I44" s="177"/>
      <c r="J44" s="162">
        <f t="shared" si="1"/>
        <v>1212.7499999999998</v>
      </c>
      <c r="K44" s="163"/>
      <c r="L44" s="164"/>
      <c r="M44" s="165">
        <f t="shared" si="2"/>
        <v>0.154</v>
      </c>
      <c r="N44" s="166"/>
      <c r="O44" s="166"/>
      <c r="P44" s="167"/>
      <c r="Q44" s="168">
        <f>IFERROR(VLOOKUP(E44&amp;G44&amp;$I$24&amp;$I$6,'&lt;吸収式&gt;マスタ'!$AI$8:$AP$151,8,0),"")</f>
        <v>0.9</v>
      </c>
      <c r="R44" s="169"/>
      <c r="S44" s="170"/>
      <c r="T44" s="234">
        <v>300</v>
      </c>
      <c r="U44" s="235"/>
      <c r="V44" s="235"/>
      <c r="W44" s="152">
        <f>IFERROR(ROUNDDOWN(AS44*M44*T44*$I$26*'&lt;吸収式&gt;マスタ'!$F$21/$I$21,1),"")</f>
        <v>4980.3</v>
      </c>
      <c r="X44" s="153"/>
      <c r="Y44" s="153"/>
      <c r="Z44" s="153"/>
      <c r="AA44" s="154"/>
      <c r="AB44" s="236">
        <f>IFERROR(ROUNDDOWN(AS44*M44*T44*$I$26*'&lt;吸収式&gt;マスタ'!$F$21/$I$21,1)*VLOOKUP($I$20,'&lt;吸収式&gt;マスタ'!$F$28:$I$31,3,FALSE),"")</f>
        <v>4980.3</v>
      </c>
      <c r="AC44" s="236"/>
      <c r="AD44" s="236"/>
      <c r="AE44" s="237"/>
      <c r="AF44" s="155"/>
      <c r="AG44" s="156"/>
      <c r="AH44" s="156"/>
      <c r="AI44" s="156"/>
      <c r="AJ44" s="156"/>
      <c r="AO44" s="75">
        <f>VLOOKUP(E44&amp;$I$24,'&lt;吸収式&gt;マスタ'!$Z$8:$AB$31,2,0)</f>
        <v>0</v>
      </c>
      <c r="AP44" s="76">
        <f>VLOOKUP(E44&amp;$I$24,'&lt;吸収式&gt;マスタ'!$Z$8:$AB$31,3,0)</f>
        <v>0.154</v>
      </c>
      <c r="AQ44" s="77">
        <f t="shared" si="3"/>
        <v>0.154</v>
      </c>
      <c r="AR44" s="77" t="str">
        <f t="shared" si="4"/>
        <v>○</v>
      </c>
      <c r="AS44" s="70">
        <f t="shared" si="0"/>
        <v>1347.5</v>
      </c>
    </row>
    <row r="45" spans="1:46" ht="15" customHeight="1">
      <c r="B45" s="191"/>
      <c r="C45" s="192"/>
      <c r="D45" s="193"/>
      <c r="E45" s="173">
        <v>12</v>
      </c>
      <c r="F45" s="174"/>
      <c r="G45" s="175" t="str">
        <f>VLOOKUP(E45&amp;$I$24,'&lt;吸収式&gt;マスタ'!Z:AC,4,0)</f>
        <v>暖房</v>
      </c>
      <c r="H45" s="176"/>
      <c r="I45" s="177"/>
      <c r="J45" s="162">
        <f t="shared" si="1"/>
        <v>1212.7499999999998</v>
      </c>
      <c r="K45" s="163"/>
      <c r="L45" s="164"/>
      <c r="M45" s="165">
        <f t="shared" si="2"/>
        <v>0.371</v>
      </c>
      <c r="N45" s="166"/>
      <c r="O45" s="166"/>
      <c r="P45" s="167"/>
      <c r="Q45" s="168">
        <f>IFERROR(VLOOKUP(E45&amp;G45&amp;$I$24&amp;$I$6,'&lt;吸収式&gt;マスタ'!$AI$8:$AP$151,8,0),"")</f>
        <v>1</v>
      </c>
      <c r="R45" s="169"/>
      <c r="S45" s="170"/>
      <c r="T45" s="234">
        <v>300</v>
      </c>
      <c r="U45" s="235"/>
      <c r="V45" s="235"/>
      <c r="W45" s="152">
        <f>IFERROR(ROUNDDOWN(AS45*M45*T45*$I$26*'&lt;吸収式&gt;マスタ'!$F$21/$I$21,1),"")</f>
        <v>10797.8</v>
      </c>
      <c r="X45" s="153"/>
      <c r="Y45" s="153"/>
      <c r="Z45" s="153"/>
      <c r="AA45" s="154"/>
      <c r="AB45" s="236">
        <f>IFERROR(ROUNDDOWN(AS45*M45*T45*$I$26*'&lt;吸収式&gt;マスタ'!$F$21/$I$21,1)*VLOOKUP($I$20,'&lt;吸収式&gt;マスタ'!$F$28:$I$31,3,FALSE),"")</f>
        <v>10797.8</v>
      </c>
      <c r="AC45" s="236"/>
      <c r="AD45" s="236"/>
      <c r="AE45" s="237"/>
      <c r="AF45" s="133" t="s">
        <v>225</v>
      </c>
      <c r="AG45" s="134"/>
      <c r="AH45" s="134"/>
      <c r="AI45" s="134"/>
      <c r="AJ45" s="134"/>
      <c r="AK45" s="134"/>
      <c r="AL45" s="134"/>
      <c r="AO45" s="75">
        <f>VLOOKUP(E45&amp;$I$24,'&lt;吸収式&gt;マスタ'!$Z$8:$AB$31,2,0)</f>
        <v>0</v>
      </c>
      <c r="AP45" s="76">
        <f>VLOOKUP(E45&amp;$I$24,'&lt;吸収式&gt;マスタ'!$Z$8:$AB$31,3,0)</f>
        <v>0.371</v>
      </c>
      <c r="AQ45" s="77">
        <f t="shared" si="3"/>
        <v>0.371</v>
      </c>
      <c r="AR45" s="77" t="str">
        <f t="shared" si="4"/>
        <v>○</v>
      </c>
      <c r="AS45" s="70">
        <f t="shared" si="0"/>
        <v>1212.7</v>
      </c>
      <c r="AT45" s="37"/>
    </row>
    <row r="46" spans="1:46" ht="15" customHeight="1">
      <c r="B46" s="191"/>
      <c r="C46" s="192"/>
      <c r="D46" s="193"/>
      <c r="E46" s="173">
        <v>1</v>
      </c>
      <c r="F46" s="174"/>
      <c r="G46" s="175" t="str">
        <f>VLOOKUP(E46&amp;$I$24,'&lt;吸収式&gt;マスタ'!Z:AC,4,0)</f>
        <v>暖房</v>
      </c>
      <c r="H46" s="176"/>
      <c r="I46" s="177"/>
      <c r="J46" s="162">
        <f t="shared" si="1"/>
        <v>1212.7499999999998</v>
      </c>
      <c r="K46" s="163"/>
      <c r="L46" s="164"/>
      <c r="M46" s="165">
        <f t="shared" si="2"/>
        <v>0.56200000000000006</v>
      </c>
      <c r="N46" s="166"/>
      <c r="O46" s="166"/>
      <c r="P46" s="167"/>
      <c r="Q46" s="168">
        <f>IFERROR(VLOOKUP(E46&amp;G46&amp;$I$24&amp;$I$6,'&lt;吸収式&gt;マスタ'!$AI$8:$AP$151,8,0),"")</f>
        <v>1</v>
      </c>
      <c r="R46" s="169"/>
      <c r="S46" s="170"/>
      <c r="T46" s="234">
        <v>300</v>
      </c>
      <c r="U46" s="235"/>
      <c r="V46" s="235"/>
      <c r="W46" s="152">
        <f>IFERROR(ROUNDDOWN(AS46*M46*T46*$I$26*'&lt;吸収式&gt;マスタ'!$F$21/$I$21,1),"")</f>
        <v>16356.8</v>
      </c>
      <c r="X46" s="153"/>
      <c r="Y46" s="153"/>
      <c r="Z46" s="153"/>
      <c r="AA46" s="154"/>
      <c r="AB46" s="236">
        <f>IFERROR(ROUNDDOWN(AS46*M46*T46*$I$26*'&lt;吸収式&gt;マスタ'!$F$21/$I$21,1)*VLOOKUP($I$20,'&lt;吸収式&gt;マスタ'!$F$28:$I$31,3,FALSE),"")</f>
        <v>16356.8</v>
      </c>
      <c r="AC46" s="236"/>
      <c r="AD46" s="236"/>
      <c r="AE46" s="237"/>
      <c r="AF46" s="133"/>
      <c r="AG46" s="134"/>
      <c r="AH46" s="134"/>
      <c r="AI46" s="134"/>
      <c r="AJ46" s="134"/>
      <c r="AK46" s="134"/>
      <c r="AL46" s="134"/>
      <c r="AO46" s="75">
        <f>VLOOKUP(E46&amp;$I$24,'&lt;吸収式&gt;マスタ'!$Z$8:$AB$31,2,0)</f>
        <v>0</v>
      </c>
      <c r="AP46" s="76">
        <f>VLOOKUP(E46&amp;$I$24,'&lt;吸収式&gt;マスタ'!$Z$8:$AB$31,3,0)</f>
        <v>0.56200000000000006</v>
      </c>
      <c r="AQ46" s="77">
        <f t="shared" si="3"/>
        <v>0.56200000000000006</v>
      </c>
      <c r="AR46" s="77" t="str">
        <f t="shared" si="4"/>
        <v>○</v>
      </c>
      <c r="AS46" s="70">
        <f t="shared" si="0"/>
        <v>1212.7</v>
      </c>
    </row>
    <row r="47" spans="1:46" ht="15" customHeight="1">
      <c r="B47" s="191"/>
      <c r="C47" s="192"/>
      <c r="D47" s="193"/>
      <c r="E47" s="173">
        <v>2</v>
      </c>
      <c r="F47" s="174"/>
      <c r="G47" s="175" t="str">
        <f>VLOOKUP(E47&amp;$I$24,'&lt;吸収式&gt;マスタ'!Z:AC,4,0)</f>
        <v>暖房</v>
      </c>
      <c r="H47" s="176"/>
      <c r="I47" s="177"/>
      <c r="J47" s="162">
        <f t="shared" si="1"/>
        <v>1212.7499999999998</v>
      </c>
      <c r="K47" s="163"/>
      <c r="L47" s="164"/>
      <c r="M47" s="165">
        <f t="shared" si="2"/>
        <v>0.56200000000000006</v>
      </c>
      <c r="N47" s="166"/>
      <c r="O47" s="166"/>
      <c r="P47" s="167"/>
      <c r="Q47" s="168">
        <f>IFERROR(VLOOKUP(E47&amp;G47&amp;$I$24&amp;$I$6,'&lt;吸収式&gt;マスタ'!$AI$8:$AP$151,8,0),"")</f>
        <v>1</v>
      </c>
      <c r="R47" s="169"/>
      <c r="S47" s="170"/>
      <c r="T47" s="234">
        <v>300</v>
      </c>
      <c r="U47" s="235"/>
      <c r="V47" s="235"/>
      <c r="W47" s="152">
        <f>IFERROR(ROUNDDOWN(AS47*M47*T47*$I$26*'&lt;吸収式&gt;マスタ'!$F$21/$I$21,1),"")</f>
        <v>16356.8</v>
      </c>
      <c r="X47" s="153"/>
      <c r="Y47" s="153"/>
      <c r="Z47" s="153"/>
      <c r="AA47" s="154"/>
      <c r="AB47" s="236">
        <f>IFERROR(ROUNDDOWN(AS47*M47*T47*$I$26*'&lt;吸収式&gt;マスタ'!$F$21/$I$21,1)*VLOOKUP($I$20,'&lt;吸収式&gt;マスタ'!$F$28:$I$31,3,FALSE),"")</f>
        <v>16356.8</v>
      </c>
      <c r="AC47" s="236"/>
      <c r="AD47" s="236"/>
      <c r="AE47" s="237"/>
      <c r="AF47" s="155"/>
      <c r="AG47" s="156"/>
      <c r="AH47" s="156"/>
      <c r="AI47" s="156"/>
      <c r="AJ47" s="156"/>
      <c r="AO47" s="75">
        <f>VLOOKUP(E47&amp;$I$24,'&lt;吸収式&gt;マスタ'!$Z$8:$AB$31,2,0)</f>
        <v>0</v>
      </c>
      <c r="AP47" s="76">
        <f>VLOOKUP(E47&amp;$I$24,'&lt;吸収式&gt;マスタ'!$Z$8:$AB$31,3,0)</f>
        <v>0.56200000000000006</v>
      </c>
      <c r="AQ47" s="77">
        <f t="shared" si="3"/>
        <v>0.56200000000000006</v>
      </c>
      <c r="AR47" s="77" t="str">
        <f t="shared" si="4"/>
        <v>○</v>
      </c>
      <c r="AS47" s="70">
        <f t="shared" si="0"/>
        <v>1212.7</v>
      </c>
    </row>
    <row r="48" spans="1:46" ht="15" customHeight="1" thickBot="1">
      <c r="B48" s="191"/>
      <c r="C48" s="192"/>
      <c r="D48" s="193"/>
      <c r="E48" s="157">
        <v>3</v>
      </c>
      <c r="F48" s="158"/>
      <c r="G48" s="159" t="str">
        <f>VLOOKUP(E48&amp;$I$24,'&lt;吸収式&gt;マスタ'!Z:AC,4,0)</f>
        <v>暖房</v>
      </c>
      <c r="H48" s="160"/>
      <c r="I48" s="161"/>
      <c r="J48" s="162">
        <f t="shared" si="1"/>
        <v>1212.7499999999998</v>
      </c>
      <c r="K48" s="163"/>
      <c r="L48" s="164"/>
      <c r="M48" s="165">
        <f t="shared" si="2"/>
        <v>0.27300000000000002</v>
      </c>
      <c r="N48" s="166"/>
      <c r="O48" s="166"/>
      <c r="P48" s="167"/>
      <c r="Q48" s="168">
        <f>IFERROR(VLOOKUP(E48&amp;G48&amp;$I$24&amp;$I$6,'&lt;吸収式&gt;マスタ'!$AI$8:$AP$151,8,0),"")</f>
        <v>0.9</v>
      </c>
      <c r="R48" s="169"/>
      <c r="S48" s="170"/>
      <c r="T48" s="171">
        <v>300</v>
      </c>
      <c r="U48" s="172"/>
      <c r="V48" s="172"/>
      <c r="W48" s="242">
        <f>IFERROR(ROUNDDOWN(AS48*M48*T48*$I$26*'&lt;吸収式&gt;マスタ'!$F$21/$I$21,1),"")</f>
        <v>8828.7999999999993</v>
      </c>
      <c r="X48" s="243"/>
      <c r="Y48" s="243"/>
      <c r="Z48" s="243"/>
      <c r="AA48" s="244"/>
      <c r="AB48" s="238">
        <f>IFERROR(ROUNDDOWN(AS48*M48*T48*$I$26*'&lt;吸収式&gt;マスタ'!$F$21/$I$21,1)*VLOOKUP($I$20,'&lt;吸収式&gt;マスタ'!$F$28:$I$31,3,FALSE),"")</f>
        <v>8828.7999999999993</v>
      </c>
      <c r="AC48" s="238"/>
      <c r="AD48" s="238"/>
      <c r="AE48" s="239"/>
      <c r="AF48" s="134" t="s">
        <v>239</v>
      </c>
      <c r="AG48" s="134"/>
      <c r="AH48" s="134"/>
      <c r="AI48" s="134"/>
      <c r="AJ48" s="134"/>
      <c r="AK48" s="134"/>
      <c r="AL48" s="134"/>
      <c r="AO48" s="75">
        <f>VLOOKUP(E48&amp;$I$24,'&lt;吸収式&gt;マスタ'!$Z$8:$AB$31,2,0)</f>
        <v>0</v>
      </c>
      <c r="AP48" s="76">
        <f>VLOOKUP(E48&amp;$I$24,'&lt;吸収式&gt;マスタ'!$Z$8:$AB$31,3,0)</f>
        <v>0.27300000000000002</v>
      </c>
      <c r="AQ48" s="77">
        <f t="shared" si="3"/>
        <v>0.27300000000000002</v>
      </c>
      <c r="AR48" s="77" t="str">
        <f t="shared" si="4"/>
        <v>○</v>
      </c>
      <c r="AS48" s="70">
        <f t="shared" si="0"/>
        <v>1347.5</v>
      </c>
    </row>
    <row r="49" spans="1:47" ht="15" customHeight="1" thickTop="1" thickBot="1">
      <c r="B49" s="194"/>
      <c r="C49" s="195"/>
      <c r="D49" s="196"/>
      <c r="E49" s="138" t="s">
        <v>57</v>
      </c>
      <c r="F49" s="139"/>
      <c r="G49" s="104"/>
      <c r="H49" s="105"/>
      <c r="I49" s="105"/>
      <c r="J49" s="140" t="s">
        <v>88</v>
      </c>
      <c r="K49" s="141"/>
      <c r="L49" s="142"/>
      <c r="M49" s="143" t="s">
        <v>88</v>
      </c>
      <c r="N49" s="144"/>
      <c r="O49" s="144"/>
      <c r="P49" s="145"/>
      <c r="Q49" s="146" t="s">
        <v>88</v>
      </c>
      <c r="R49" s="147"/>
      <c r="S49" s="148"/>
      <c r="T49" s="146">
        <f>SUM(T37:V48)</f>
        <v>3600</v>
      </c>
      <c r="U49" s="147"/>
      <c r="V49" s="147"/>
      <c r="W49" s="149">
        <f>SUM(W37:AA48)</f>
        <v>145170.9</v>
      </c>
      <c r="X49" s="150"/>
      <c r="Y49" s="150"/>
      <c r="Z49" s="150"/>
      <c r="AA49" s="151"/>
      <c r="AB49" s="240">
        <f>SUM(AB37:AE48)</f>
        <v>145170.9</v>
      </c>
      <c r="AC49" s="240"/>
      <c r="AD49" s="240"/>
      <c r="AE49" s="241"/>
      <c r="AF49" s="134"/>
      <c r="AG49" s="134"/>
      <c r="AH49" s="134"/>
      <c r="AI49" s="134"/>
      <c r="AJ49" s="134"/>
      <c r="AK49" s="134"/>
      <c r="AL49" s="134"/>
      <c r="AO49" s="37"/>
      <c r="AP49" s="37"/>
      <c r="AR49" s="47">
        <f>COUNTIF(AR37:AR48,"○")</f>
        <v>12</v>
      </c>
      <c r="AS49" s="37"/>
    </row>
    <row r="50" spans="1:47" s="79" customFormat="1" ht="15" customHeight="1" thickTop="1">
      <c r="A50" s="36"/>
      <c r="B50" s="78" t="str">
        <f>IF(AR49=12,"指定負荷率使用","")</f>
        <v>指定負荷率使用</v>
      </c>
      <c r="C50" s="36"/>
      <c r="D50" s="36"/>
      <c r="E50" s="36"/>
      <c r="F50" s="36"/>
      <c r="G50" s="230" t="s">
        <v>256</v>
      </c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42"/>
      <c r="AC50" s="42"/>
      <c r="AD50" s="42"/>
      <c r="AE50" s="42"/>
      <c r="AF50" s="134"/>
      <c r="AG50" s="134"/>
      <c r="AH50" s="134"/>
      <c r="AI50" s="134"/>
      <c r="AJ50" s="134"/>
      <c r="AK50" s="134"/>
      <c r="AL50" s="134"/>
      <c r="AM50" s="36"/>
      <c r="AN50" s="36"/>
      <c r="AO50" s="47"/>
      <c r="AP50" s="47"/>
      <c r="AQ50" s="47"/>
      <c r="AR50" s="47"/>
      <c r="AS50" s="47"/>
      <c r="AT50" s="36"/>
      <c r="AU50" s="37"/>
    </row>
    <row r="51" spans="1:47" ht="15" customHeight="1">
      <c r="B51" s="299"/>
      <c r="C51" s="299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101"/>
      <c r="AC51" s="101"/>
      <c r="AD51" s="101"/>
      <c r="AE51" s="101"/>
      <c r="AF51" s="134"/>
      <c r="AG51" s="134"/>
      <c r="AH51" s="134"/>
      <c r="AI51" s="134"/>
      <c r="AJ51" s="134"/>
      <c r="AK51" s="134"/>
      <c r="AL51" s="134"/>
    </row>
    <row r="52" spans="1:47" ht="3" customHeight="1">
      <c r="B52" s="42"/>
      <c r="C52" s="42"/>
      <c r="D52" s="42"/>
      <c r="E52" s="80"/>
      <c r="F52" s="80"/>
      <c r="G52" s="80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81"/>
      <c r="V52" s="81"/>
      <c r="W52" s="82"/>
      <c r="X52" s="82"/>
      <c r="Y52" s="82"/>
      <c r="Z52" s="82"/>
      <c r="AA52" s="82"/>
      <c r="AB52" s="102"/>
      <c r="AC52" s="102"/>
      <c r="AD52" s="102"/>
      <c r="AE52" s="102"/>
      <c r="AF52" s="134"/>
      <c r="AG52" s="134"/>
      <c r="AH52" s="134"/>
      <c r="AI52" s="134"/>
      <c r="AJ52" s="134"/>
      <c r="AK52" s="134"/>
      <c r="AL52" s="134"/>
      <c r="AO52" s="37"/>
      <c r="AP52" s="37"/>
      <c r="AS52" s="37"/>
    </row>
    <row r="53" spans="1:47" ht="15" customHeight="1">
      <c r="A53" s="36" t="s">
        <v>177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81"/>
      <c r="V53" s="81"/>
      <c r="W53" s="82"/>
      <c r="X53" s="82"/>
      <c r="Y53" s="82"/>
      <c r="Z53" s="82"/>
      <c r="AA53" s="82"/>
      <c r="AB53" s="102"/>
      <c r="AC53" s="102"/>
      <c r="AD53" s="102"/>
      <c r="AE53" s="102"/>
      <c r="AF53" s="42"/>
      <c r="AG53" s="42"/>
      <c r="AH53" s="42"/>
      <c r="AI53" s="42"/>
      <c r="AJ53" s="42"/>
      <c r="AO53" s="37"/>
      <c r="AP53" s="37"/>
      <c r="AS53" s="37"/>
    </row>
    <row r="54" spans="1:47" ht="15" customHeight="1">
      <c r="B54" s="188" t="s">
        <v>91</v>
      </c>
      <c r="C54" s="189"/>
      <c r="D54" s="190"/>
      <c r="E54" s="135" t="s">
        <v>55</v>
      </c>
      <c r="F54" s="137"/>
      <c r="G54" s="135" t="s">
        <v>13</v>
      </c>
      <c r="H54" s="136"/>
      <c r="I54" s="137"/>
      <c r="J54" s="135" t="s">
        <v>93</v>
      </c>
      <c r="K54" s="136"/>
      <c r="L54" s="136"/>
      <c r="M54" s="136"/>
      <c r="N54" s="136"/>
      <c r="O54" s="136"/>
      <c r="P54" s="136"/>
      <c r="Q54" s="136"/>
      <c r="R54" s="136"/>
      <c r="S54" s="137"/>
      <c r="T54" s="200" t="s">
        <v>106</v>
      </c>
      <c r="U54" s="201"/>
      <c r="V54" s="202"/>
      <c r="W54" s="203" t="s">
        <v>109</v>
      </c>
      <c r="X54" s="204"/>
      <c r="Y54" s="204"/>
      <c r="Z54" s="204"/>
      <c r="AA54" s="205"/>
      <c r="AB54" s="102"/>
      <c r="AC54" s="102"/>
      <c r="AD54" s="102"/>
      <c r="AE54" s="102"/>
      <c r="AF54" s="206"/>
      <c r="AG54" s="206"/>
      <c r="AH54" s="206"/>
      <c r="AI54" s="206"/>
      <c r="AJ54" s="206"/>
      <c r="AO54" s="37"/>
      <c r="AP54" s="37"/>
      <c r="AS54" s="37"/>
    </row>
    <row r="55" spans="1:47" ht="15" customHeight="1" thickBot="1">
      <c r="B55" s="191"/>
      <c r="C55" s="192"/>
      <c r="D55" s="193"/>
      <c r="E55" s="197"/>
      <c r="F55" s="198"/>
      <c r="G55" s="197"/>
      <c r="H55" s="199"/>
      <c r="I55" s="198"/>
      <c r="J55" s="197" t="s">
        <v>108</v>
      </c>
      <c r="K55" s="199"/>
      <c r="L55" s="199"/>
      <c r="M55" s="199"/>
      <c r="N55" s="199"/>
      <c r="O55" s="199"/>
      <c r="P55" s="199"/>
      <c r="Q55" s="199"/>
      <c r="R55" s="199"/>
      <c r="S55" s="198"/>
      <c r="T55" s="207" t="s">
        <v>126</v>
      </c>
      <c r="U55" s="208"/>
      <c r="V55" s="209"/>
      <c r="W55" s="210" t="s">
        <v>111</v>
      </c>
      <c r="X55" s="211"/>
      <c r="Y55" s="211"/>
      <c r="Z55" s="211"/>
      <c r="AA55" s="212"/>
      <c r="AB55" s="102"/>
      <c r="AC55" s="102"/>
      <c r="AD55" s="102"/>
      <c r="AE55" s="102"/>
      <c r="AF55" s="213"/>
      <c r="AG55" s="213"/>
      <c r="AH55" s="213"/>
      <c r="AI55" s="213"/>
      <c r="AJ55" s="213"/>
      <c r="AO55" s="37"/>
      <c r="AP55" s="37"/>
      <c r="AS55" s="37"/>
    </row>
    <row r="56" spans="1:47" ht="15" customHeight="1" thickTop="1">
      <c r="B56" s="191"/>
      <c r="C56" s="192"/>
      <c r="D56" s="193"/>
      <c r="E56" s="173">
        <v>4</v>
      </c>
      <c r="F56" s="214"/>
      <c r="G56" s="215" t="str">
        <f>G37</f>
        <v>暖房</v>
      </c>
      <c r="H56" s="216"/>
      <c r="I56" s="216"/>
      <c r="J56" s="217">
        <f>IFERROR(IF(G56="冷房",$AP$32,0),"")</f>
        <v>0</v>
      </c>
      <c r="K56" s="218"/>
      <c r="L56" s="218"/>
      <c r="M56" s="218"/>
      <c r="N56" s="218"/>
      <c r="O56" s="218"/>
      <c r="P56" s="218"/>
      <c r="Q56" s="218"/>
      <c r="R56" s="218"/>
      <c r="S56" s="219"/>
      <c r="T56" s="226">
        <f t="shared" ref="T56:T67" si="5">T37</f>
        <v>300</v>
      </c>
      <c r="U56" s="227"/>
      <c r="V56" s="227"/>
      <c r="W56" s="231">
        <f>IFERROR(ROUNDDOWN(J56*T56*$I$26,1),"")</f>
        <v>0</v>
      </c>
      <c r="X56" s="232"/>
      <c r="Y56" s="232"/>
      <c r="Z56" s="232"/>
      <c r="AA56" s="233"/>
      <c r="AB56" s="102"/>
      <c r="AC56" s="102"/>
      <c r="AD56" s="102"/>
      <c r="AE56" s="102"/>
      <c r="AF56" s="225"/>
      <c r="AG56" s="225"/>
      <c r="AH56" s="225"/>
      <c r="AI56" s="225"/>
      <c r="AJ56" s="225"/>
      <c r="AO56" s="37"/>
      <c r="AP56" s="37"/>
      <c r="AS56" s="37"/>
    </row>
    <row r="57" spans="1:47" ht="15" customHeight="1">
      <c r="B57" s="191"/>
      <c r="C57" s="192"/>
      <c r="D57" s="193"/>
      <c r="E57" s="173">
        <v>5</v>
      </c>
      <c r="F57" s="214"/>
      <c r="G57" s="215" t="str">
        <f t="shared" ref="G57:G67" si="6">G38</f>
        <v>冷房</v>
      </c>
      <c r="H57" s="216"/>
      <c r="I57" s="216"/>
      <c r="J57" s="217">
        <f t="shared" ref="J57:J67" si="7">IFERROR(IF(G57="冷房",$AP$32,0),"")</f>
        <v>21.35</v>
      </c>
      <c r="K57" s="218"/>
      <c r="L57" s="218"/>
      <c r="M57" s="218"/>
      <c r="N57" s="218"/>
      <c r="O57" s="218"/>
      <c r="P57" s="218"/>
      <c r="Q57" s="218"/>
      <c r="R57" s="218"/>
      <c r="S57" s="219"/>
      <c r="T57" s="226">
        <f t="shared" si="5"/>
        <v>300</v>
      </c>
      <c r="U57" s="227"/>
      <c r="V57" s="227"/>
      <c r="W57" s="228">
        <f t="shared" ref="W57:W67" si="8">IFERROR(ROUNDDOWN(J57*T57*$I$26,1),"")</f>
        <v>6405</v>
      </c>
      <c r="X57" s="163"/>
      <c r="Y57" s="163"/>
      <c r="Z57" s="163"/>
      <c r="AA57" s="229"/>
      <c r="AB57" s="102"/>
      <c r="AC57" s="102"/>
      <c r="AD57" s="102"/>
      <c r="AE57" s="102"/>
      <c r="AF57" s="225"/>
      <c r="AG57" s="225"/>
      <c r="AH57" s="225"/>
      <c r="AI57" s="225"/>
      <c r="AJ57" s="225"/>
      <c r="AO57" s="37"/>
      <c r="AP57" s="37"/>
      <c r="AS57" s="37"/>
    </row>
    <row r="58" spans="1:47" ht="15" customHeight="1">
      <c r="B58" s="191"/>
      <c r="C58" s="192"/>
      <c r="D58" s="193"/>
      <c r="E58" s="173">
        <v>6</v>
      </c>
      <c r="F58" s="214"/>
      <c r="G58" s="215" t="str">
        <f t="shared" si="6"/>
        <v>冷房</v>
      </c>
      <c r="H58" s="216"/>
      <c r="I58" s="216"/>
      <c r="J58" s="217">
        <f t="shared" si="7"/>
        <v>21.35</v>
      </c>
      <c r="K58" s="218"/>
      <c r="L58" s="218"/>
      <c r="M58" s="218"/>
      <c r="N58" s="218"/>
      <c r="O58" s="218"/>
      <c r="P58" s="218"/>
      <c r="Q58" s="218"/>
      <c r="R58" s="218"/>
      <c r="S58" s="219"/>
      <c r="T58" s="226">
        <f t="shared" si="5"/>
        <v>300</v>
      </c>
      <c r="U58" s="227"/>
      <c r="V58" s="227"/>
      <c r="W58" s="228">
        <f t="shared" si="8"/>
        <v>6405</v>
      </c>
      <c r="X58" s="163"/>
      <c r="Y58" s="163"/>
      <c r="Z58" s="163"/>
      <c r="AA58" s="229"/>
      <c r="AB58" s="102"/>
      <c r="AC58" s="102"/>
      <c r="AD58" s="102"/>
      <c r="AE58" s="102"/>
      <c r="AF58" s="225"/>
      <c r="AG58" s="225"/>
      <c r="AH58" s="225"/>
      <c r="AI58" s="225"/>
      <c r="AJ58" s="225"/>
      <c r="AO58" s="37"/>
      <c r="AP58" s="37"/>
      <c r="AS58" s="37"/>
    </row>
    <row r="59" spans="1:47" ht="15" customHeight="1">
      <c r="B59" s="191"/>
      <c r="C59" s="192"/>
      <c r="D59" s="193"/>
      <c r="E59" s="173">
        <v>7</v>
      </c>
      <c r="F59" s="214"/>
      <c r="G59" s="215" t="str">
        <f t="shared" si="6"/>
        <v>冷房</v>
      </c>
      <c r="H59" s="216"/>
      <c r="I59" s="216"/>
      <c r="J59" s="217">
        <f t="shared" si="7"/>
        <v>21.35</v>
      </c>
      <c r="K59" s="218"/>
      <c r="L59" s="218"/>
      <c r="M59" s="218"/>
      <c r="N59" s="218"/>
      <c r="O59" s="218"/>
      <c r="P59" s="218"/>
      <c r="Q59" s="218"/>
      <c r="R59" s="218"/>
      <c r="S59" s="219"/>
      <c r="T59" s="226">
        <f t="shared" si="5"/>
        <v>300</v>
      </c>
      <c r="U59" s="227"/>
      <c r="V59" s="227"/>
      <c r="W59" s="228">
        <f t="shared" si="8"/>
        <v>6405</v>
      </c>
      <c r="X59" s="163"/>
      <c r="Y59" s="163"/>
      <c r="Z59" s="163"/>
      <c r="AA59" s="229"/>
      <c r="AB59" s="102"/>
      <c r="AC59" s="102"/>
      <c r="AD59" s="102"/>
      <c r="AE59" s="102"/>
      <c r="AF59" s="225"/>
      <c r="AG59" s="225"/>
      <c r="AH59" s="225"/>
      <c r="AI59" s="225"/>
      <c r="AJ59" s="225"/>
      <c r="AO59" s="37"/>
      <c r="AP59" s="37"/>
      <c r="AS59" s="37"/>
    </row>
    <row r="60" spans="1:47" ht="15" customHeight="1">
      <c r="B60" s="191"/>
      <c r="C60" s="192"/>
      <c r="D60" s="193"/>
      <c r="E60" s="173">
        <v>8</v>
      </c>
      <c r="F60" s="214"/>
      <c r="G60" s="215" t="str">
        <f t="shared" si="6"/>
        <v>冷房</v>
      </c>
      <c r="H60" s="216"/>
      <c r="I60" s="216"/>
      <c r="J60" s="217">
        <f t="shared" si="7"/>
        <v>21.35</v>
      </c>
      <c r="K60" s="218"/>
      <c r="L60" s="218"/>
      <c r="M60" s="218"/>
      <c r="N60" s="218"/>
      <c r="O60" s="218"/>
      <c r="P60" s="218"/>
      <c r="Q60" s="218"/>
      <c r="R60" s="218"/>
      <c r="S60" s="219"/>
      <c r="T60" s="226">
        <f t="shared" si="5"/>
        <v>300</v>
      </c>
      <c r="U60" s="227"/>
      <c r="V60" s="227"/>
      <c r="W60" s="228">
        <f t="shared" si="8"/>
        <v>6405</v>
      </c>
      <c r="X60" s="163"/>
      <c r="Y60" s="163"/>
      <c r="Z60" s="163"/>
      <c r="AA60" s="229"/>
      <c r="AB60" s="102"/>
      <c r="AC60" s="102"/>
      <c r="AD60" s="102"/>
      <c r="AE60" s="102"/>
      <c r="AF60" s="225"/>
      <c r="AG60" s="225"/>
      <c r="AH60" s="225"/>
      <c r="AI60" s="225"/>
      <c r="AJ60" s="225"/>
      <c r="AO60" s="37"/>
      <c r="AP60" s="37"/>
      <c r="AS60" s="37"/>
    </row>
    <row r="61" spans="1:47" ht="15" customHeight="1">
      <c r="B61" s="191"/>
      <c r="C61" s="192"/>
      <c r="D61" s="193"/>
      <c r="E61" s="173">
        <v>9</v>
      </c>
      <c r="F61" s="214"/>
      <c r="G61" s="215" t="str">
        <f t="shared" si="6"/>
        <v>冷房</v>
      </c>
      <c r="H61" s="216"/>
      <c r="I61" s="216"/>
      <c r="J61" s="217">
        <f t="shared" si="7"/>
        <v>21.35</v>
      </c>
      <c r="K61" s="218"/>
      <c r="L61" s="218"/>
      <c r="M61" s="218"/>
      <c r="N61" s="218"/>
      <c r="O61" s="218"/>
      <c r="P61" s="218"/>
      <c r="Q61" s="218"/>
      <c r="R61" s="218"/>
      <c r="S61" s="219"/>
      <c r="T61" s="226">
        <f t="shared" si="5"/>
        <v>300</v>
      </c>
      <c r="U61" s="227"/>
      <c r="V61" s="227"/>
      <c r="W61" s="228">
        <f t="shared" si="8"/>
        <v>6405</v>
      </c>
      <c r="X61" s="163"/>
      <c r="Y61" s="163"/>
      <c r="Z61" s="163"/>
      <c r="AA61" s="229"/>
      <c r="AB61" s="102"/>
      <c r="AC61" s="102"/>
      <c r="AD61" s="102"/>
      <c r="AE61" s="102"/>
      <c r="AF61" s="225"/>
      <c r="AG61" s="225"/>
      <c r="AH61" s="225"/>
      <c r="AI61" s="225"/>
      <c r="AJ61" s="225"/>
      <c r="AO61" s="37"/>
      <c r="AP61" s="37"/>
      <c r="AS61" s="37"/>
    </row>
    <row r="62" spans="1:47" ht="15" customHeight="1">
      <c r="B62" s="191"/>
      <c r="C62" s="192"/>
      <c r="D62" s="193"/>
      <c r="E62" s="173">
        <v>10</v>
      </c>
      <c r="F62" s="214"/>
      <c r="G62" s="215" t="str">
        <f t="shared" si="6"/>
        <v>冷房</v>
      </c>
      <c r="H62" s="216"/>
      <c r="I62" s="216"/>
      <c r="J62" s="217">
        <f t="shared" si="7"/>
        <v>21.35</v>
      </c>
      <c r="K62" s="218"/>
      <c r="L62" s="218"/>
      <c r="M62" s="218"/>
      <c r="N62" s="218"/>
      <c r="O62" s="218"/>
      <c r="P62" s="218"/>
      <c r="Q62" s="218"/>
      <c r="R62" s="218"/>
      <c r="S62" s="219"/>
      <c r="T62" s="226">
        <f t="shared" si="5"/>
        <v>300</v>
      </c>
      <c r="U62" s="227"/>
      <c r="V62" s="227"/>
      <c r="W62" s="228">
        <f t="shared" si="8"/>
        <v>6405</v>
      </c>
      <c r="X62" s="163"/>
      <c r="Y62" s="163"/>
      <c r="Z62" s="163"/>
      <c r="AA62" s="229"/>
      <c r="AB62" s="102"/>
      <c r="AC62" s="102"/>
      <c r="AD62" s="102"/>
      <c r="AE62" s="102"/>
      <c r="AF62" s="225"/>
      <c r="AG62" s="225"/>
      <c r="AH62" s="225"/>
      <c r="AI62" s="225"/>
      <c r="AJ62" s="225"/>
    </row>
    <row r="63" spans="1:47" s="79" customFormat="1" ht="15" customHeight="1">
      <c r="A63" s="36"/>
      <c r="B63" s="191"/>
      <c r="C63" s="192"/>
      <c r="D63" s="193"/>
      <c r="E63" s="173">
        <v>11</v>
      </c>
      <c r="F63" s="214"/>
      <c r="G63" s="215" t="str">
        <f t="shared" si="6"/>
        <v>暖房</v>
      </c>
      <c r="H63" s="216"/>
      <c r="I63" s="216"/>
      <c r="J63" s="217">
        <f t="shared" si="7"/>
        <v>0</v>
      </c>
      <c r="K63" s="218"/>
      <c r="L63" s="218"/>
      <c r="M63" s="218"/>
      <c r="N63" s="218"/>
      <c r="O63" s="218"/>
      <c r="P63" s="218"/>
      <c r="Q63" s="218"/>
      <c r="R63" s="218"/>
      <c r="S63" s="219"/>
      <c r="T63" s="226">
        <f t="shared" si="5"/>
        <v>300</v>
      </c>
      <c r="U63" s="227"/>
      <c r="V63" s="227"/>
      <c r="W63" s="228">
        <f t="shared" si="8"/>
        <v>0</v>
      </c>
      <c r="X63" s="163"/>
      <c r="Y63" s="163"/>
      <c r="Z63" s="163"/>
      <c r="AA63" s="229"/>
      <c r="AB63" s="102"/>
      <c r="AC63" s="102"/>
      <c r="AD63" s="102"/>
      <c r="AE63" s="102"/>
      <c r="AF63" s="225"/>
      <c r="AG63" s="225"/>
      <c r="AH63" s="225"/>
      <c r="AI63" s="225"/>
      <c r="AJ63" s="225"/>
      <c r="AK63" s="36"/>
      <c r="AL63" s="36"/>
      <c r="AM63" s="36"/>
      <c r="AN63" s="36"/>
      <c r="AO63" s="47"/>
      <c r="AP63" s="47"/>
      <c r="AQ63" s="47"/>
      <c r="AR63" s="47"/>
      <c r="AS63" s="47"/>
      <c r="AT63" s="36"/>
      <c r="AU63" s="37"/>
    </row>
    <row r="64" spans="1:47" s="79" customFormat="1" ht="15" customHeight="1">
      <c r="A64" s="36"/>
      <c r="B64" s="191"/>
      <c r="C64" s="192"/>
      <c r="D64" s="193"/>
      <c r="E64" s="173">
        <v>12</v>
      </c>
      <c r="F64" s="214"/>
      <c r="G64" s="215" t="str">
        <f t="shared" si="6"/>
        <v>暖房</v>
      </c>
      <c r="H64" s="216"/>
      <c r="I64" s="216"/>
      <c r="J64" s="217">
        <f t="shared" si="7"/>
        <v>0</v>
      </c>
      <c r="K64" s="218"/>
      <c r="L64" s="218"/>
      <c r="M64" s="218"/>
      <c r="N64" s="218"/>
      <c r="O64" s="218"/>
      <c r="P64" s="218"/>
      <c r="Q64" s="218"/>
      <c r="R64" s="218"/>
      <c r="S64" s="219"/>
      <c r="T64" s="226">
        <f t="shared" si="5"/>
        <v>300</v>
      </c>
      <c r="U64" s="227"/>
      <c r="V64" s="227"/>
      <c r="W64" s="228">
        <f t="shared" si="8"/>
        <v>0</v>
      </c>
      <c r="X64" s="163"/>
      <c r="Y64" s="163"/>
      <c r="Z64" s="163"/>
      <c r="AA64" s="229"/>
      <c r="AB64" s="102"/>
      <c r="AC64" s="102"/>
      <c r="AD64" s="102"/>
      <c r="AE64" s="102"/>
      <c r="AF64" s="225"/>
      <c r="AG64" s="225"/>
      <c r="AH64" s="225"/>
      <c r="AI64" s="225"/>
      <c r="AJ64" s="225"/>
      <c r="AK64" s="36"/>
      <c r="AL64" s="36"/>
      <c r="AM64" s="36"/>
      <c r="AN64" s="36"/>
      <c r="AO64" s="47"/>
      <c r="AP64" s="47"/>
      <c r="AQ64" s="47"/>
      <c r="AR64" s="47"/>
      <c r="AS64" s="47"/>
      <c r="AT64" s="36"/>
      <c r="AU64" s="37"/>
    </row>
    <row r="65" spans="1:47" s="79" customFormat="1" ht="15" customHeight="1">
      <c r="A65" s="36"/>
      <c r="B65" s="191"/>
      <c r="C65" s="192"/>
      <c r="D65" s="193"/>
      <c r="E65" s="173">
        <v>1</v>
      </c>
      <c r="F65" s="214"/>
      <c r="G65" s="215" t="str">
        <f t="shared" si="6"/>
        <v>暖房</v>
      </c>
      <c r="H65" s="216"/>
      <c r="I65" s="216"/>
      <c r="J65" s="217">
        <f t="shared" si="7"/>
        <v>0</v>
      </c>
      <c r="K65" s="218"/>
      <c r="L65" s="218"/>
      <c r="M65" s="218"/>
      <c r="N65" s="218"/>
      <c r="O65" s="218"/>
      <c r="P65" s="218"/>
      <c r="Q65" s="218"/>
      <c r="R65" s="218"/>
      <c r="S65" s="219"/>
      <c r="T65" s="226">
        <f t="shared" si="5"/>
        <v>300</v>
      </c>
      <c r="U65" s="227"/>
      <c r="V65" s="227"/>
      <c r="W65" s="228">
        <f t="shared" si="8"/>
        <v>0</v>
      </c>
      <c r="X65" s="163"/>
      <c r="Y65" s="163"/>
      <c r="Z65" s="163"/>
      <c r="AA65" s="229"/>
      <c r="AB65" s="103"/>
      <c r="AC65" s="103"/>
      <c r="AD65" s="103"/>
      <c r="AE65" s="103"/>
      <c r="AF65" s="225"/>
      <c r="AG65" s="225"/>
      <c r="AH65" s="225"/>
      <c r="AI65" s="225"/>
      <c r="AJ65" s="225"/>
      <c r="AK65" s="36"/>
      <c r="AL65" s="36"/>
      <c r="AM65" s="36"/>
      <c r="AN65" s="36"/>
      <c r="AO65" s="47"/>
      <c r="AP65" s="47"/>
      <c r="AQ65" s="47"/>
      <c r="AR65" s="47"/>
      <c r="AS65" s="47"/>
      <c r="AT65" s="36"/>
      <c r="AU65" s="37"/>
    </row>
    <row r="66" spans="1:47" s="79" customFormat="1" ht="15" customHeight="1">
      <c r="A66" s="36"/>
      <c r="B66" s="191"/>
      <c r="C66" s="192"/>
      <c r="D66" s="193"/>
      <c r="E66" s="173">
        <v>2</v>
      </c>
      <c r="F66" s="214"/>
      <c r="G66" s="215" t="str">
        <f t="shared" si="6"/>
        <v>暖房</v>
      </c>
      <c r="H66" s="216"/>
      <c r="I66" s="216"/>
      <c r="J66" s="217">
        <f t="shared" si="7"/>
        <v>0</v>
      </c>
      <c r="K66" s="218"/>
      <c r="L66" s="218"/>
      <c r="M66" s="218"/>
      <c r="N66" s="218"/>
      <c r="O66" s="218"/>
      <c r="P66" s="218"/>
      <c r="Q66" s="218"/>
      <c r="R66" s="218"/>
      <c r="S66" s="219"/>
      <c r="T66" s="226">
        <f t="shared" si="5"/>
        <v>300</v>
      </c>
      <c r="U66" s="227"/>
      <c r="V66" s="227"/>
      <c r="W66" s="228">
        <f t="shared" si="8"/>
        <v>0</v>
      </c>
      <c r="X66" s="163"/>
      <c r="Y66" s="163"/>
      <c r="Z66" s="163"/>
      <c r="AA66" s="229"/>
      <c r="AB66" s="103"/>
      <c r="AC66" s="103"/>
      <c r="AD66" s="103"/>
      <c r="AE66" s="103"/>
      <c r="AF66" s="225"/>
      <c r="AG66" s="225"/>
      <c r="AH66" s="225"/>
      <c r="AI66" s="225"/>
      <c r="AJ66" s="225"/>
      <c r="AK66" s="36"/>
      <c r="AL66" s="36"/>
      <c r="AM66" s="36"/>
      <c r="AN66" s="36"/>
      <c r="AO66" s="47"/>
      <c r="AP66" s="47"/>
      <c r="AQ66" s="47"/>
      <c r="AR66" s="47"/>
      <c r="AS66" s="47"/>
      <c r="AT66" s="36"/>
      <c r="AU66" s="37"/>
    </row>
    <row r="67" spans="1:47" s="79" customFormat="1" ht="15" customHeight="1" thickBot="1">
      <c r="A67" s="36"/>
      <c r="B67" s="191"/>
      <c r="C67" s="192"/>
      <c r="D67" s="193"/>
      <c r="E67" s="173">
        <v>3</v>
      </c>
      <c r="F67" s="214"/>
      <c r="G67" s="215" t="str">
        <f t="shared" si="6"/>
        <v>暖房</v>
      </c>
      <c r="H67" s="216"/>
      <c r="I67" s="216"/>
      <c r="J67" s="217">
        <f t="shared" si="7"/>
        <v>0</v>
      </c>
      <c r="K67" s="218"/>
      <c r="L67" s="218"/>
      <c r="M67" s="218"/>
      <c r="N67" s="218"/>
      <c r="O67" s="218"/>
      <c r="P67" s="218"/>
      <c r="Q67" s="218"/>
      <c r="R67" s="218"/>
      <c r="S67" s="219"/>
      <c r="T67" s="220">
        <f t="shared" si="5"/>
        <v>300</v>
      </c>
      <c r="U67" s="221"/>
      <c r="V67" s="221"/>
      <c r="W67" s="222">
        <f t="shared" si="8"/>
        <v>0</v>
      </c>
      <c r="X67" s="223"/>
      <c r="Y67" s="223"/>
      <c r="Z67" s="223"/>
      <c r="AA67" s="224"/>
      <c r="AB67" s="36"/>
      <c r="AC67" s="36"/>
      <c r="AD67" s="36"/>
      <c r="AE67" s="36"/>
      <c r="AF67" s="225"/>
      <c r="AG67" s="225"/>
      <c r="AH67" s="225"/>
      <c r="AI67" s="225"/>
      <c r="AJ67" s="225"/>
      <c r="AK67" s="36"/>
      <c r="AL67" s="36"/>
      <c r="AM67" s="36"/>
      <c r="AN67" s="36"/>
      <c r="AO67" s="47"/>
      <c r="AP67" s="47"/>
      <c r="AQ67" s="47"/>
      <c r="AR67" s="47"/>
      <c r="AS67" s="47"/>
      <c r="AT67" s="36"/>
      <c r="AU67" s="37"/>
    </row>
    <row r="68" spans="1:47" s="79" customFormat="1" ht="15" customHeight="1" thickTop="1">
      <c r="A68" s="36"/>
      <c r="B68" s="194"/>
      <c r="C68" s="195"/>
      <c r="D68" s="196"/>
      <c r="E68" s="138" t="s">
        <v>57</v>
      </c>
      <c r="F68" s="178"/>
      <c r="G68" s="179"/>
      <c r="H68" s="180"/>
      <c r="I68" s="180"/>
      <c r="J68" s="181" t="s">
        <v>88</v>
      </c>
      <c r="K68" s="182"/>
      <c r="L68" s="182"/>
      <c r="M68" s="182"/>
      <c r="N68" s="182"/>
      <c r="O68" s="182"/>
      <c r="P68" s="182"/>
      <c r="Q68" s="182"/>
      <c r="R68" s="182"/>
      <c r="S68" s="183"/>
      <c r="T68" s="146">
        <f>SUM(T56:V67)</f>
        <v>3600</v>
      </c>
      <c r="U68" s="147"/>
      <c r="V68" s="147"/>
      <c r="W68" s="184">
        <f>SUM(W56:AA67)</f>
        <v>38430</v>
      </c>
      <c r="X68" s="185"/>
      <c r="Y68" s="185"/>
      <c r="Z68" s="185"/>
      <c r="AA68" s="186"/>
      <c r="AB68" s="36"/>
      <c r="AC68" s="36"/>
      <c r="AD68" s="36"/>
      <c r="AE68" s="36"/>
      <c r="AF68" s="187"/>
      <c r="AG68" s="187"/>
      <c r="AH68" s="187"/>
      <c r="AI68" s="187"/>
      <c r="AJ68" s="187"/>
      <c r="AK68" s="36"/>
      <c r="AL68" s="36"/>
      <c r="AM68" s="36"/>
      <c r="AN68" s="36"/>
      <c r="AO68" s="47"/>
      <c r="AP68" s="47"/>
      <c r="AQ68" s="47"/>
      <c r="AR68" s="47"/>
      <c r="AS68" s="47"/>
      <c r="AT68" s="36"/>
      <c r="AU68" s="37"/>
    </row>
    <row r="69" spans="1:47" s="79" customFormat="1" ht="15" customHeight="1">
      <c r="A69" s="36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47"/>
      <c r="AP69" s="47"/>
      <c r="AQ69" s="47"/>
      <c r="AR69" s="47"/>
      <c r="AS69" s="47"/>
      <c r="AT69" s="36"/>
      <c r="AU69" s="37"/>
    </row>
    <row r="70" spans="1:47" ht="15" customHeight="1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F70" s="84"/>
      <c r="AG70" s="84"/>
      <c r="AH70" s="84"/>
      <c r="AI70" s="84"/>
      <c r="AJ70" s="84"/>
    </row>
    <row r="71" spans="1:47" ht="15" customHeight="1"/>
    <row r="72" spans="1:47" s="79" customFormat="1" ht="1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47"/>
      <c r="AP72" s="47"/>
      <c r="AQ72" s="47"/>
      <c r="AR72" s="47"/>
      <c r="AS72" s="47"/>
      <c r="AT72" s="36"/>
      <c r="AU72" s="37"/>
    </row>
    <row r="73" spans="1:47" s="79" customFormat="1" ht="1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47"/>
      <c r="AP73" s="47"/>
      <c r="AQ73" s="47"/>
      <c r="AR73" s="47"/>
      <c r="AS73" s="47"/>
      <c r="AT73" s="36"/>
      <c r="AU73" s="37"/>
    </row>
    <row r="74" spans="1:47" s="79" customFormat="1" ht="1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47"/>
      <c r="AP74" s="47"/>
      <c r="AQ74" s="47"/>
      <c r="AR74" s="47"/>
      <c r="AS74" s="47"/>
      <c r="AT74" s="36"/>
      <c r="AU74" s="37"/>
    </row>
    <row r="75" spans="1:47" s="79" customFormat="1" ht="1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47"/>
      <c r="AP75" s="47"/>
      <c r="AQ75" s="47"/>
      <c r="AR75" s="47"/>
      <c r="AS75" s="47"/>
      <c r="AT75" s="36"/>
      <c r="AU75" s="37"/>
    </row>
    <row r="76" spans="1:47" s="79" customFormat="1" ht="1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47"/>
      <c r="AP76" s="47"/>
      <c r="AQ76" s="47"/>
      <c r="AR76" s="47"/>
      <c r="AS76" s="47"/>
      <c r="AT76" s="36"/>
      <c r="AU76" s="37"/>
    </row>
    <row r="77" spans="1:47" s="79" customFormat="1" ht="1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47"/>
      <c r="AP77" s="47"/>
      <c r="AQ77" s="47"/>
      <c r="AR77" s="47"/>
      <c r="AS77" s="47"/>
      <c r="AT77" s="36"/>
      <c r="AU77" s="37"/>
    </row>
    <row r="78" spans="1:47" s="79" customFormat="1" ht="1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47"/>
      <c r="AP78" s="47"/>
      <c r="AQ78" s="47"/>
      <c r="AR78" s="47"/>
      <c r="AS78" s="47"/>
      <c r="AT78" s="36"/>
      <c r="AU78" s="37"/>
    </row>
    <row r="79" spans="1:47" s="79" customFormat="1" ht="1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47"/>
      <c r="AP79" s="47"/>
      <c r="AQ79" s="47"/>
      <c r="AR79" s="47"/>
      <c r="AS79" s="47"/>
      <c r="AT79" s="36"/>
      <c r="AU79" s="37"/>
    </row>
    <row r="80" spans="1:47" s="79" customFormat="1" ht="1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47"/>
      <c r="AP80" s="47"/>
      <c r="AQ80" s="47"/>
      <c r="AR80" s="47"/>
      <c r="AS80" s="47"/>
      <c r="AT80" s="36"/>
      <c r="AU80" s="37"/>
    </row>
    <row r="81" spans="41:45" s="36" customFormat="1" ht="38.25" customHeight="1">
      <c r="AO81" s="47"/>
      <c r="AP81" s="47"/>
      <c r="AQ81" s="47"/>
      <c r="AR81" s="47"/>
      <c r="AS81" s="47"/>
    </row>
  </sheetData>
  <sheetProtection algorithmName="SHA-512" hashValue="UUiFsnz9hIEqM91x7pkUtgSxQOtDoVUSOWT0cjtXSucsXcZ+U/nGnOreD0YdGGYOE0OZhLSjh2YYi3UfkSXpeA==" saltValue="l9Z1sDO4nkQPDHXlnYZpHQ==" spinCount="100000" sheet="1" objects="1" scenarios="1" selectLockedCells="1"/>
  <mergeCells count="286">
    <mergeCell ref="AB35:AE35"/>
    <mergeCell ref="AB36:AE36"/>
    <mergeCell ref="AB37:AE37"/>
    <mergeCell ref="AB38:AE38"/>
    <mergeCell ref="AB39:AE39"/>
    <mergeCell ref="AB40:AE40"/>
    <mergeCell ref="AB41:AE41"/>
    <mergeCell ref="AB42:AE42"/>
    <mergeCell ref="AB43:AE43"/>
    <mergeCell ref="B51:C51"/>
    <mergeCell ref="P16:R16"/>
    <mergeCell ref="E17:H17"/>
    <mergeCell ref="T17:AK17"/>
    <mergeCell ref="I17:O17"/>
    <mergeCell ref="P17:R17"/>
    <mergeCell ref="T47:V47"/>
    <mergeCell ref="Q47:S47"/>
    <mergeCell ref="M47:P47"/>
    <mergeCell ref="J47:L47"/>
    <mergeCell ref="G47:I47"/>
    <mergeCell ref="E47:F47"/>
    <mergeCell ref="T25:AK25"/>
    <mergeCell ref="T26:AK26"/>
    <mergeCell ref="B20:H20"/>
    <mergeCell ref="I20:R20"/>
    <mergeCell ref="C21:H21"/>
    <mergeCell ref="I21:O21"/>
    <mergeCell ref="P21:R21"/>
    <mergeCell ref="T24:AL24"/>
    <mergeCell ref="T21:AK21"/>
    <mergeCell ref="T20:AK20"/>
    <mergeCell ref="B29:H29"/>
    <mergeCell ref="I29:R29"/>
    <mergeCell ref="I24:R24"/>
    <mergeCell ref="I25:R25"/>
    <mergeCell ref="B24:H24"/>
    <mergeCell ref="B25:H25"/>
    <mergeCell ref="B26:H26"/>
    <mergeCell ref="B18:D19"/>
    <mergeCell ref="E18:H18"/>
    <mergeCell ref="A2:AM2"/>
    <mergeCell ref="B4:E4"/>
    <mergeCell ref="F4:K4"/>
    <mergeCell ref="B14:AM14"/>
    <mergeCell ref="T6:AK6"/>
    <mergeCell ref="T7:AK7"/>
    <mergeCell ref="T10:AK10"/>
    <mergeCell ref="T11:AK11"/>
    <mergeCell ref="T12:AK12"/>
    <mergeCell ref="B10:H10"/>
    <mergeCell ref="I10:R10"/>
    <mergeCell ref="B11:H11"/>
    <mergeCell ref="I11:R11"/>
    <mergeCell ref="B6:H6"/>
    <mergeCell ref="I6:R6"/>
    <mergeCell ref="I7:R7"/>
    <mergeCell ref="B12:H12"/>
    <mergeCell ref="B30:D32"/>
    <mergeCell ref="E30:H30"/>
    <mergeCell ref="I30:R30"/>
    <mergeCell ref="E31:H31"/>
    <mergeCell ref="I31:O31"/>
    <mergeCell ref="P31:R31"/>
    <mergeCell ref="T29:AK29"/>
    <mergeCell ref="T30:AK30"/>
    <mergeCell ref="T31:AK31"/>
    <mergeCell ref="T32:AK32"/>
    <mergeCell ref="E32:H32"/>
    <mergeCell ref="I32:O32"/>
    <mergeCell ref="P32:R32"/>
    <mergeCell ref="B35:D49"/>
    <mergeCell ref="E35:F36"/>
    <mergeCell ref="G35:I36"/>
    <mergeCell ref="J35:L35"/>
    <mergeCell ref="M35:P35"/>
    <mergeCell ref="Q35:S36"/>
    <mergeCell ref="T35:V35"/>
    <mergeCell ref="AF34:AJ34"/>
    <mergeCell ref="J36:L36"/>
    <mergeCell ref="M36:P36"/>
    <mergeCell ref="T36:V36"/>
    <mergeCell ref="W36:AA36"/>
    <mergeCell ref="W37:AA37"/>
    <mergeCell ref="E38:F38"/>
    <mergeCell ref="G38:I38"/>
    <mergeCell ref="J38:L38"/>
    <mergeCell ref="M38:P38"/>
    <mergeCell ref="Q38:S38"/>
    <mergeCell ref="T38:V38"/>
    <mergeCell ref="W38:AA38"/>
    <mergeCell ref="E37:F37"/>
    <mergeCell ref="G37:I37"/>
    <mergeCell ref="J37:L37"/>
    <mergeCell ref="M37:P37"/>
    <mergeCell ref="Q37:S37"/>
    <mergeCell ref="T37:V37"/>
    <mergeCell ref="W39:AA39"/>
    <mergeCell ref="AF39:AJ39"/>
    <mergeCell ref="E40:F40"/>
    <mergeCell ref="G40:I40"/>
    <mergeCell ref="J40:L40"/>
    <mergeCell ref="M40:P40"/>
    <mergeCell ref="Q40:S40"/>
    <mergeCell ref="T40:V40"/>
    <mergeCell ref="W40:AA40"/>
    <mergeCell ref="E39:F39"/>
    <mergeCell ref="G39:I39"/>
    <mergeCell ref="J39:L39"/>
    <mergeCell ref="M39:P39"/>
    <mergeCell ref="Q39:S39"/>
    <mergeCell ref="T39:V39"/>
    <mergeCell ref="W41:AA41"/>
    <mergeCell ref="E42:F42"/>
    <mergeCell ref="G42:I42"/>
    <mergeCell ref="J42:L42"/>
    <mergeCell ref="M42:P42"/>
    <mergeCell ref="Q42:S42"/>
    <mergeCell ref="T42:V42"/>
    <mergeCell ref="W42:AA42"/>
    <mergeCell ref="E41:F41"/>
    <mergeCell ref="G41:I41"/>
    <mergeCell ref="J41:L41"/>
    <mergeCell ref="M41:P41"/>
    <mergeCell ref="Q41:S41"/>
    <mergeCell ref="T41:V41"/>
    <mergeCell ref="W43:AA43"/>
    <mergeCell ref="E44:F44"/>
    <mergeCell ref="G44:I44"/>
    <mergeCell ref="J44:L44"/>
    <mergeCell ref="M44:P44"/>
    <mergeCell ref="Q44:S44"/>
    <mergeCell ref="T44:V44"/>
    <mergeCell ref="W44:AA44"/>
    <mergeCell ref="AF44:AJ44"/>
    <mergeCell ref="E43:F43"/>
    <mergeCell ref="G43:I43"/>
    <mergeCell ref="J43:L43"/>
    <mergeCell ref="M43:P43"/>
    <mergeCell ref="Q43:S43"/>
    <mergeCell ref="T43:V43"/>
    <mergeCell ref="AB44:AE44"/>
    <mergeCell ref="AF56:AJ56"/>
    <mergeCell ref="E59:F59"/>
    <mergeCell ref="G59:I59"/>
    <mergeCell ref="J59:S59"/>
    <mergeCell ref="T58:V58"/>
    <mergeCell ref="W58:AA58"/>
    <mergeCell ref="AF58:AJ58"/>
    <mergeCell ref="G45:I45"/>
    <mergeCell ref="J45:L45"/>
    <mergeCell ref="M45:P45"/>
    <mergeCell ref="Q45:S45"/>
    <mergeCell ref="T45:V45"/>
    <mergeCell ref="W45:AA45"/>
    <mergeCell ref="AB46:AE46"/>
    <mergeCell ref="AB47:AE47"/>
    <mergeCell ref="AB48:AE48"/>
    <mergeCell ref="AB49:AE49"/>
    <mergeCell ref="AB45:AE45"/>
    <mergeCell ref="J46:L46"/>
    <mergeCell ref="M46:P46"/>
    <mergeCell ref="Q46:S46"/>
    <mergeCell ref="T46:V46"/>
    <mergeCell ref="W46:AA46"/>
    <mergeCell ref="W48:AA48"/>
    <mergeCell ref="G50:AA51"/>
    <mergeCell ref="E56:F56"/>
    <mergeCell ref="G56:I56"/>
    <mergeCell ref="J56:S56"/>
    <mergeCell ref="T56:V56"/>
    <mergeCell ref="W56:AA56"/>
    <mergeCell ref="E60:F60"/>
    <mergeCell ref="G60:I60"/>
    <mergeCell ref="J60:S60"/>
    <mergeCell ref="T60:V60"/>
    <mergeCell ref="W60:AA60"/>
    <mergeCell ref="AF60:AJ60"/>
    <mergeCell ref="E57:F57"/>
    <mergeCell ref="G57:I57"/>
    <mergeCell ref="J57:S57"/>
    <mergeCell ref="T57:V57"/>
    <mergeCell ref="W57:AA57"/>
    <mergeCell ref="AF57:AJ57"/>
    <mergeCell ref="T59:V59"/>
    <mergeCell ref="W59:AA59"/>
    <mergeCell ref="AF59:AJ59"/>
    <mergeCell ref="E58:F58"/>
    <mergeCell ref="G58:I58"/>
    <mergeCell ref="J58:S58"/>
    <mergeCell ref="E62:F62"/>
    <mergeCell ref="G62:I62"/>
    <mergeCell ref="J62:S62"/>
    <mergeCell ref="T62:V62"/>
    <mergeCell ref="W62:AA62"/>
    <mergeCell ref="AF62:AJ62"/>
    <mergeCell ref="E61:F61"/>
    <mergeCell ref="G61:I61"/>
    <mergeCell ref="J61:S61"/>
    <mergeCell ref="T61:V61"/>
    <mergeCell ref="W61:AA61"/>
    <mergeCell ref="AF61:AJ61"/>
    <mergeCell ref="E64:F64"/>
    <mergeCell ref="G64:I64"/>
    <mergeCell ref="J64:S64"/>
    <mergeCell ref="T64:V64"/>
    <mergeCell ref="W64:AA64"/>
    <mergeCell ref="AF64:AJ64"/>
    <mergeCell ref="E63:F63"/>
    <mergeCell ref="G63:I63"/>
    <mergeCell ref="J63:S63"/>
    <mergeCell ref="T63:V63"/>
    <mergeCell ref="W63:AA63"/>
    <mergeCell ref="AF63:AJ63"/>
    <mergeCell ref="G66:I66"/>
    <mergeCell ref="J66:S66"/>
    <mergeCell ref="T66:V66"/>
    <mergeCell ref="W66:AA66"/>
    <mergeCell ref="AF66:AJ66"/>
    <mergeCell ref="E65:F65"/>
    <mergeCell ref="G65:I65"/>
    <mergeCell ref="J65:S65"/>
    <mergeCell ref="T65:V65"/>
    <mergeCell ref="W65:AA65"/>
    <mergeCell ref="AF65:AJ65"/>
    <mergeCell ref="E68:F68"/>
    <mergeCell ref="G68:I68"/>
    <mergeCell ref="J68:S68"/>
    <mergeCell ref="T68:V68"/>
    <mergeCell ref="W68:AA68"/>
    <mergeCell ref="AF68:AJ68"/>
    <mergeCell ref="B54:D68"/>
    <mergeCell ref="E54:F55"/>
    <mergeCell ref="G54:I55"/>
    <mergeCell ref="J54:S54"/>
    <mergeCell ref="T54:V54"/>
    <mergeCell ref="W54:AA54"/>
    <mergeCell ref="AF54:AJ54"/>
    <mergeCell ref="J55:S55"/>
    <mergeCell ref="T55:V55"/>
    <mergeCell ref="W55:AA55"/>
    <mergeCell ref="AF55:AJ55"/>
    <mergeCell ref="E67:F67"/>
    <mergeCell ref="G67:I67"/>
    <mergeCell ref="J67:S67"/>
    <mergeCell ref="T67:V67"/>
    <mergeCell ref="W67:AA67"/>
    <mergeCell ref="AF67:AJ67"/>
    <mergeCell ref="E66:F66"/>
    <mergeCell ref="P26:R26"/>
    <mergeCell ref="I26:O26"/>
    <mergeCell ref="AF37:AL38"/>
    <mergeCell ref="AF40:AL43"/>
    <mergeCell ref="AF45:AL46"/>
    <mergeCell ref="AF48:AL52"/>
    <mergeCell ref="W35:AA35"/>
    <mergeCell ref="E49:F49"/>
    <mergeCell ref="J49:L49"/>
    <mergeCell ref="M49:P49"/>
    <mergeCell ref="Q49:S49"/>
    <mergeCell ref="T49:V49"/>
    <mergeCell ref="W49:AA49"/>
    <mergeCell ref="W47:AA47"/>
    <mergeCell ref="AF47:AJ47"/>
    <mergeCell ref="E48:F48"/>
    <mergeCell ref="G48:I48"/>
    <mergeCell ref="J48:L48"/>
    <mergeCell ref="M48:P48"/>
    <mergeCell ref="Q48:S48"/>
    <mergeCell ref="T48:V48"/>
    <mergeCell ref="E45:F45"/>
    <mergeCell ref="E46:F46"/>
    <mergeCell ref="G46:I46"/>
    <mergeCell ref="E19:H19"/>
    <mergeCell ref="I18:O18"/>
    <mergeCell ref="I19:O19"/>
    <mergeCell ref="P18:R18"/>
    <mergeCell ref="P19:R19"/>
    <mergeCell ref="T18:AK18"/>
    <mergeCell ref="T19:AK19"/>
    <mergeCell ref="A1:AI1"/>
    <mergeCell ref="B7:H7"/>
    <mergeCell ref="T16:AK16"/>
    <mergeCell ref="B16:D17"/>
    <mergeCell ref="E16:H16"/>
    <mergeCell ref="I16:O16"/>
    <mergeCell ref="I12:R12"/>
  </mergeCells>
  <phoneticPr fontId="1"/>
  <conditionalFormatting sqref="B54:AA68">
    <cfRule type="expression" dxfId="19" priority="6">
      <formula>$I$29="非該当"</formula>
    </cfRule>
  </conditionalFormatting>
  <conditionalFormatting sqref="I21:O22">
    <cfRule type="expression" dxfId="18" priority="23">
      <formula>$I$21="直接入力"</formula>
    </cfRule>
  </conditionalFormatting>
  <conditionalFormatting sqref="I30:R32">
    <cfRule type="expression" dxfId="17" priority="5">
      <formula>$I$29="非該当"</formula>
    </cfRule>
  </conditionalFormatting>
  <conditionalFormatting sqref="M37:P48">
    <cfRule type="expression" dxfId="16" priority="22">
      <formula>$I$24="その他"</formula>
    </cfRule>
  </conditionalFormatting>
  <conditionalFormatting sqref="T37:T48">
    <cfRule type="expression" dxfId="15" priority="25">
      <formula>#REF!="独自計算"</formula>
    </cfRule>
  </conditionalFormatting>
  <conditionalFormatting sqref="W37:AA37">
    <cfRule type="expression" dxfId="14" priority="3">
      <formula>$I$20="プロパン（い号）"</formula>
    </cfRule>
  </conditionalFormatting>
  <conditionalFormatting sqref="W38:AA48">
    <cfRule type="expression" dxfId="13" priority="2">
      <formula>$I$20="プロパン（い号）"</formula>
    </cfRule>
  </conditionalFormatting>
  <conditionalFormatting sqref="W49:AA49">
    <cfRule type="expression" dxfId="12" priority="1">
      <formula>$I$20="プロパン（い号）"</formula>
    </cfRule>
  </conditionalFormatting>
  <conditionalFormatting sqref="AB35:AE49">
    <cfRule type="expression" dxfId="11" priority="4">
      <formula>$I$20&lt;&gt;"プロパン（い号）"</formula>
    </cfRule>
  </conditionalFormatting>
  <conditionalFormatting sqref="AU20:AZ20 AP23">
    <cfRule type="expression" dxfId="10" priority="27">
      <formula>#REF!="その他"</formula>
    </cfRule>
  </conditionalFormatting>
  <dataValidations count="6">
    <dataValidation type="list" allowBlank="1" showInputMessage="1" showErrorMessage="1" sqref="AP10 AU10:AV10" xr:uid="{00000000-0002-0000-0000-000000000000}">
      <formula1>"吸収冷温水機(ガス),ジェネリンク(ガス)"</formula1>
    </dataValidation>
    <dataValidation type="list" allowBlank="1" showInputMessage="1" showErrorMessage="1" sqref="I30:R30 I33:R33" xr:uid="{00000000-0002-0000-0000-000001000000}">
      <formula1>"有り,無し（一定速）"</formula1>
    </dataValidation>
    <dataValidation type="list" allowBlank="1" showInputMessage="1" showErrorMessage="1" sqref="I29" xr:uid="{00000000-0002-0000-0000-000002000000}">
      <formula1>"該当,非該当"</formula1>
    </dataValidation>
    <dataValidation type="list" allowBlank="1" showInputMessage="1" showErrorMessage="1" sqref="G37:G48 H38:I48" xr:uid="{00000000-0002-0000-0000-000003000000}">
      <formula1>"冷房,暖房"</formula1>
    </dataValidation>
    <dataValidation type="list" allowBlank="1" showInputMessage="1" showErrorMessage="1" sqref="AH27:AJ28 P23:R23 P27:R28 P16:R17" xr:uid="{00000000-0002-0000-0000-000004000000}">
      <formula1>"kW,kcal/h"</formula1>
    </dataValidation>
    <dataValidation type="list" allowBlank="1" showInputMessage="1" showErrorMessage="1" sqref="P18:R19" xr:uid="{B7C8BB2C-C310-4586-A700-E2B4E42B0DCA}">
      <formula1>"kW,㎥/ｈ"</formula1>
    </dataValidation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74" orientation="portrait" cellComments="asDisplayed" r:id="rId1"/>
  <colBreaks count="1" manualBreakCount="1">
    <brk id="46" max="66" man="1"/>
  </colBreaks>
  <ignoredErrors>
    <ignoredError sqref="G38:I48 G37 N37:P3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'&lt;吸収式&gt;マスタ'!$F$28:$F$31</xm:f>
          </x14:formula1>
          <xm:sqref>I20:R20</xm:sqref>
        </x14:dataValidation>
        <x14:dataValidation type="list" allowBlank="1" showInputMessage="1" showErrorMessage="1" xr:uid="{00000000-0002-0000-0000-000006000000}">
          <x14:formula1>
            <xm:f>'&lt;吸収式&gt;マスタ'!$B$6:$B$8</xm:f>
          </x14:formula1>
          <xm:sqref>I24:R24</xm:sqref>
        </x14:dataValidation>
        <x14:dataValidation type="list" allowBlank="1" showInputMessage="1" showErrorMessage="1" xr:uid="{00000000-0002-0000-0000-000007000000}">
          <x14:formula1>
            <xm:f>'&lt;吸収式&gt;マスタ'!$U$7:$U$82</xm:f>
          </x14:formula1>
          <xm:sqref>I25:R25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45"/>
  <sheetViews>
    <sheetView showGridLines="0" view="pageBreakPreview" zoomScaleNormal="100" zoomScaleSheetLayoutView="100" workbookViewId="0">
      <selection activeCell="I7" sqref="I7:R7"/>
    </sheetView>
  </sheetViews>
  <sheetFormatPr defaultColWidth="9" defaultRowHeight="13"/>
  <cols>
    <col min="1" max="1" width="2.90625" style="36" customWidth="1"/>
    <col min="2" max="4" width="3.90625" style="36" customWidth="1"/>
    <col min="5" max="40" width="2.90625" style="36" customWidth="1"/>
    <col min="41" max="41" width="2.90625" style="36" hidden="1" customWidth="1"/>
    <col min="42" max="42" width="9.08984375" style="36" hidden="1" customWidth="1"/>
    <col min="43" max="43" width="14.08984375" style="36" hidden="1" customWidth="1"/>
    <col min="44" max="44" width="10.08984375" style="36" hidden="1" customWidth="1"/>
    <col min="45" max="45" width="20" style="36" hidden="1" customWidth="1"/>
    <col min="46" max="46" width="11.08984375" style="36" hidden="1" customWidth="1"/>
    <col min="47" max="47" width="2.90625" style="36" hidden="1" customWidth="1"/>
    <col min="48" max="49" width="11.08984375" style="37" hidden="1" customWidth="1"/>
    <col min="50" max="50" width="9" style="37" hidden="1" customWidth="1"/>
    <col min="51" max="51" width="9" style="37" customWidth="1"/>
    <col min="52" max="58" width="9" style="37"/>
    <col min="59" max="59" width="13.6328125" style="37" customWidth="1"/>
    <col min="60" max="62" width="9" style="37"/>
    <col min="63" max="63" width="5.08984375" style="37" customWidth="1"/>
    <col min="64" max="66" width="9" style="37"/>
    <col min="67" max="67" width="2.90625" style="37" customWidth="1"/>
    <col min="68" max="16384" width="9" style="37"/>
  </cols>
  <sheetData>
    <row r="1" spans="1:55" ht="34.5" customHeight="1">
      <c r="A1" s="120" t="s">
        <v>231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5"/>
      <c r="AK1" s="35"/>
      <c r="AL1" s="35"/>
      <c r="AM1" s="35"/>
      <c r="AN1" s="35"/>
      <c r="AQ1" s="47"/>
      <c r="AR1" s="47"/>
      <c r="AS1" s="47"/>
      <c r="AT1" s="47"/>
    </row>
    <row r="2" spans="1:55" ht="34.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Q2" s="47"/>
      <c r="AR2" s="47"/>
      <c r="AS2" s="47"/>
      <c r="AT2" s="47"/>
    </row>
    <row r="3" spans="1:55" ht="62" customHeight="1">
      <c r="AT3" s="37"/>
      <c r="AU3" s="37"/>
    </row>
    <row r="4" spans="1:55" ht="15" customHeight="1">
      <c r="B4" s="287"/>
      <c r="C4" s="288"/>
      <c r="D4" s="288"/>
      <c r="E4" s="289"/>
      <c r="F4" s="290" t="s">
        <v>219</v>
      </c>
      <c r="G4" s="291"/>
      <c r="H4" s="291"/>
      <c r="I4" s="291"/>
      <c r="J4" s="291"/>
      <c r="K4" s="291"/>
      <c r="AT4" s="37"/>
      <c r="AU4" s="37"/>
    </row>
    <row r="5" spans="1:55" ht="15" customHeight="1">
      <c r="A5" s="36" t="s">
        <v>178</v>
      </c>
      <c r="AT5" s="37"/>
      <c r="AU5" s="37"/>
    </row>
    <row r="6" spans="1:55" ht="15" customHeight="1">
      <c r="B6" s="277" t="s">
        <v>114</v>
      </c>
      <c r="C6" s="278"/>
      <c r="D6" s="278"/>
      <c r="E6" s="278"/>
      <c r="F6" s="278"/>
      <c r="G6" s="278"/>
      <c r="H6" s="279"/>
      <c r="I6" s="296" t="s">
        <v>118</v>
      </c>
      <c r="J6" s="297"/>
      <c r="K6" s="297"/>
      <c r="L6" s="297"/>
      <c r="M6" s="297"/>
      <c r="N6" s="297"/>
      <c r="O6" s="297"/>
      <c r="P6" s="297"/>
      <c r="Q6" s="297"/>
      <c r="R6" s="298"/>
      <c r="S6" s="38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P6" s="85" t="s">
        <v>128</v>
      </c>
      <c r="AQ6" s="44" t="s">
        <v>139</v>
      </c>
      <c r="AR6" s="45"/>
      <c r="AS6" s="45"/>
      <c r="AT6" s="37"/>
      <c r="AU6" s="46"/>
      <c r="AV6" s="46"/>
      <c r="AW6" s="46"/>
      <c r="AX6" s="46"/>
      <c r="AY6" s="46"/>
      <c r="AZ6" s="46"/>
      <c r="BA6" s="46"/>
      <c r="BB6" s="46"/>
      <c r="BC6" s="46"/>
    </row>
    <row r="7" spans="1:55" ht="15" customHeight="1">
      <c r="B7" s="121" t="s">
        <v>262</v>
      </c>
      <c r="C7" s="122"/>
      <c r="D7" s="122"/>
      <c r="E7" s="122"/>
      <c r="F7" s="122"/>
      <c r="G7" s="122"/>
      <c r="H7" s="123"/>
      <c r="I7" s="125"/>
      <c r="J7" s="126"/>
      <c r="K7" s="126"/>
      <c r="L7" s="126"/>
      <c r="M7" s="126"/>
      <c r="N7" s="126"/>
      <c r="O7" s="126"/>
      <c r="P7" s="126"/>
      <c r="Q7" s="126"/>
      <c r="R7" s="274"/>
      <c r="S7" s="38"/>
      <c r="T7" s="119" t="s">
        <v>195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T7" s="37"/>
      <c r="AU7" s="37"/>
    </row>
    <row r="8" spans="1:55" ht="3" customHeight="1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1"/>
      <c r="U8" s="41"/>
      <c r="V8" s="41"/>
      <c r="W8" s="41"/>
      <c r="X8" s="41"/>
      <c r="Y8" s="41"/>
      <c r="Z8" s="41"/>
      <c r="AA8" s="41"/>
      <c r="AB8" s="99"/>
      <c r="AC8" s="99"/>
      <c r="AD8" s="99"/>
      <c r="AE8" s="99"/>
      <c r="AF8" s="41"/>
      <c r="AG8" s="41"/>
      <c r="AH8" s="41"/>
      <c r="AI8" s="41"/>
      <c r="AJ8" s="41"/>
      <c r="AK8" s="41"/>
      <c r="AL8" s="41"/>
      <c r="AM8" s="41"/>
      <c r="AT8" s="37"/>
      <c r="AU8" s="37"/>
    </row>
    <row r="9" spans="1:55" ht="15" customHeight="1">
      <c r="A9" s="36" t="s">
        <v>49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0"/>
      <c r="T9" s="40"/>
      <c r="U9" s="40"/>
      <c r="V9" s="40"/>
      <c r="W9" s="40"/>
      <c r="X9" s="40"/>
      <c r="Y9" s="40"/>
      <c r="Z9" s="40"/>
      <c r="AA9" s="40"/>
      <c r="AB9" s="99"/>
      <c r="AC9" s="99"/>
      <c r="AD9" s="99"/>
      <c r="AE9" s="99"/>
      <c r="AF9" s="40"/>
      <c r="AG9" s="40"/>
      <c r="AH9" s="40"/>
      <c r="AI9" s="40"/>
      <c r="AJ9" s="42"/>
      <c r="AT9" s="37"/>
      <c r="AU9" s="37"/>
    </row>
    <row r="10" spans="1:55" ht="15" customHeight="1">
      <c r="B10" s="135" t="s">
        <v>228</v>
      </c>
      <c r="C10" s="136"/>
      <c r="D10" s="136"/>
      <c r="E10" s="136"/>
      <c r="F10" s="136"/>
      <c r="G10" s="136"/>
      <c r="H10" s="137"/>
      <c r="I10" s="325" t="s">
        <v>50</v>
      </c>
      <c r="J10" s="325"/>
      <c r="K10" s="325"/>
      <c r="L10" s="325"/>
      <c r="M10" s="325"/>
      <c r="N10" s="325"/>
      <c r="O10" s="325"/>
      <c r="P10" s="325"/>
      <c r="Q10" s="325"/>
      <c r="R10" s="325"/>
      <c r="S10" s="38"/>
      <c r="T10" s="119" t="s">
        <v>229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T10" s="37"/>
      <c r="AU10" s="37"/>
    </row>
    <row r="11" spans="1:55" ht="30" customHeight="1">
      <c r="B11" s="277" t="s">
        <v>51</v>
      </c>
      <c r="C11" s="278"/>
      <c r="D11" s="278"/>
      <c r="E11" s="278"/>
      <c r="F11" s="278"/>
      <c r="G11" s="278"/>
      <c r="H11" s="279"/>
      <c r="I11" s="325" t="s">
        <v>90</v>
      </c>
      <c r="J11" s="325"/>
      <c r="K11" s="325"/>
      <c r="L11" s="325"/>
      <c r="M11" s="325"/>
      <c r="N11" s="325"/>
      <c r="O11" s="325"/>
      <c r="P11" s="325"/>
      <c r="Q11" s="325"/>
      <c r="R11" s="325"/>
      <c r="S11" s="38"/>
      <c r="T11" s="119" t="s">
        <v>196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T11" s="37"/>
      <c r="AU11" s="37"/>
    </row>
    <row r="12" spans="1:55" ht="15" customHeight="1">
      <c r="B12" s="197" t="s">
        <v>183</v>
      </c>
      <c r="C12" s="199"/>
      <c r="D12" s="199"/>
      <c r="E12" s="199"/>
      <c r="F12" s="199"/>
      <c r="G12" s="199"/>
      <c r="H12" s="198"/>
      <c r="I12" s="325" t="s">
        <v>89</v>
      </c>
      <c r="J12" s="325"/>
      <c r="K12" s="325"/>
      <c r="L12" s="325"/>
      <c r="M12" s="325"/>
      <c r="N12" s="325"/>
      <c r="O12" s="325"/>
      <c r="P12" s="325"/>
      <c r="Q12" s="325"/>
      <c r="R12" s="325"/>
      <c r="S12" s="38"/>
      <c r="T12" s="119" t="s">
        <v>192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R12" s="86"/>
      <c r="AT12" s="37"/>
      <c r="AU12" s="37"/>
    </row>
    <row r="13" spans="1:55" ht="12" customHeight="1">
      <c r="AB13" s="42"/>
      <c r="AC13" s="42"/>
      <c r="AD13" s="42"/>
      <c r="AE13" s="42"/>
    </row>
    <row r="14" spans="1:55" ht="15" customHeight="1">
      <c r="B14" s="292" t="s">
        <v>199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T14" s="37"/>
      <c r="AU14" s="37"/>
    </row>
    <row r="15" spans="1:55" ht="15" customHeight="1">
      <c r="A15" s="36" t="s">
        <v>165</v>
      </c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42"/>
      <c r="AJ15" s="42"/>
      <c r="AT15" s="37"/>
      <c r="AU15" s="37"/>
    </row>
    <row r="16" spans="1:55" ht="15" customHeight="1">
      <c r="B16" s="124" t="s">
        <v>247</v>
      </c>
      <c r="C16" s="113"/>
      <c r="D16" s="113"/>
      <c r="E16" s="278" t="s">
        <v>0</v>
      </c>
      <c r="F16" s="278"/>
      <c r="G16" s="278"/>
      <c r="H16" s="279"/>
      <c r="I16" s="114">
        <v>1407</v>
      </c>
      <c r="J16" s="115"/>
      <c r="K16" s="115"/>
      <c r="L16" s="115"/>
      <c r="M16" s="115"/>
      <c r="N16" s="115"/>
      <c r="O16" s="115"/>
      <c r="P16" s="300" t="s">
        <v>52</v>
      </c>
      <c r="Q16" s="300"/>
      <c r="R16" s="301"/>
      <c r="S16" s="88"/>
      <c r="T16" s="119" t="s">
        <v>188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T16" s="37"/>
      <c r="AU16" s="37"/>
    </row>
    <row r="17" spans="1:55" ht="15" customHeight="1">
      <c r="B17" s="113"/>
      <c r="C17" s="113"/>
      <c r="D17" s="113"/>
      <c r="E17" s="278" t="s">
        <v>1</v>
      </c>
      <c r="F17" s="278"/>
      <c r="G17" s="278"/>
      <c r="H17" s="279"/>
      <c r="I17" s="302">
        <v>1177</v>
      </c>
      <c r="J17" s="303"/>
      <c r="K17" s="303"/>
      <c r="L17" s="303"/>
      <c r="M17" s="303"/>
      <c r="N17" s="303"/>
      <c r="O17" s="303"/>
      <c r="P17" s="304" t="s">
        <v>52</v>
      </c>
      <c r="Q17" s="304"/>
      <c r="R17" s="305"/>
      <c r="S17" s="88"/>
      <c r="T17" s="119" t="s">
        <v>188</v>
      </c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T17" s="37"/>
      <c r="AU17" s="37"/>
    </row>
    <row r="18" spans="1:55" ht="15" customHeight="1">
      <c r="B18" s="367" t="s">
        <v>249</v>
      </c>
      <c r="C18" s="368"/>
      <c r="D18" s="368"/>
      <c r="E18" s="278" t="s">
        <v>179</v>
      </c>
      <c r="F18" s="278"/>
      <c r="G18" s="278"/>
      <c r="H18" s="279"/>
      <c r="I18" s="114">
        <v>1203.2</v>
      </c>
      <c r="J18" s="115"/>
      <c r="K18" s="115"/>
      <c r="L18" s="115"/>
      <c r="M18" s="115"/>
      <c r="N18" s="115"/>
      <c r="O18" s="115"/>
      <c r="P18" s="116" t="s">
        <v>52</v>
      </c>
      <c r="Q18" s="117"/>
      <c r="R18" s="118"/>
      <c r="S18" s="38"/>
      <c r="T18" s="119" t="s">
        <v>193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</row>
    <row r="19" spans="1:55" ht="15" customHeight="1">
      <c r="B19" s="368"/>
      <c r="C19" s="368"/>
      <c r="D19" s="368"/>
      <c r="E19" s="278" t="s">
        <v>180</v>
      </c>
      <c r="F19" s="278"/>
      <c r="G19" s="278"/>
      <c r="H19" s="279"/>
      <c r="I19" s="114">
        <v>1251.5</v>
      </c>
      <c r="J19" s="115"/>
      <c r="K19" s="115"/>
      <c r="L19" s="115"/>
      <c r="M19" s="115"/>
      <c r="N19" s="115"/>
      <c r="O19" s="115"/>
      <c r="P19" s="116" t="s">
        <v>52</v>
      </c>
      <c r="Q19" s="117"/>
      <c r="R19" s="118"/>
      <c r="S19" s="38"/>
      <c r="T19" s="119" t="s">
        <v>197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</row>
    <row r="20" spans="1:55" ht="15" customHeight="1">
      <c r="B20" s="306" t="s">
        <v>181</v>
      </c>
      <c r="C20" s="113"/>
      <c r="D20" s="113"/>
      <c r="E20" s="113"/>
      <c r="F20" s="113"/>
      <c r="G20" s="113"/>
      <c r="H20" s="113"/>
      <c r="I20" s="125" t="s">
        <v>54</v>
      </c>
      <c r="J20" s="126"/>
      <c r="K20" s="126"/>
      <c r="L20" s="126"/>
      <c r="M20" s="126"/>
      <c r="N20" s="126"/>
      <c r="O20" s="126"/>
      <c r="P20" s="126"/>
      <c r="Q20" s="126"/>
      <c r="R20" s="274"/>
      <c r="S20" s="38"/>
      <c r="T20" s="119" t="s">
        <v>226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P20" s="85" t="s">
        <v>155</v>
      </c>
      <c r="AQ20" s="89">
        <f>VLOOKUP(I20,'&lt;吸収式&gt;マスタ'!$F$6:$G$13,2,0)</f>
        <v>10750</v>
      </c>
      <c r="AR20" s="90" t="str">
        <f>VLOOKUP(I20,'&lt;吸収式&gt;マスタ'!$F$6:$H$13,3,0)</f>
        <v>kcal/㎥</v>
      </c>
      <c r="AS20" s="45"/>
      <c r="AT20" s="37"/>
      <c r="AU20" s="53"/>
      <c r="AV20" s="53"/>
      <c r="AW20" s="53"/>
      <c r="AX20" s="53"/>
      <c r="AY20" s="53"/>
      <c r="AZ20" s="53"/>
      <c r="BB20" s="42"/>
      <c r="BC20" s="42"/>
    </row>
    <row r="21" spans="1:55" ht="15" customHeight="1">
      <c r="B21" s="54"/>
      <c r="C21" s="113" t="s">
        <v>200</v>
      </c>
      <c r="D21" s="113"/>
      <c r="E21" s="113"/>
      <c r="F21" s="113"/>
      <c r="G21" s="113"/>
      <c r="H21" s="113"/>
      <c r="I21" s="326">
        <f>IFERROR(VLOOKUP(I20,'&lt;吸収式&gt;マスタ'!F28:G31,2,0),"")</f>
        <v>45</v>
      </c>
      <c r="J21" s="326"/>
      <c r="K21" s="326"/>
      <c r="L21" s="326"/>
      <c r="M21" s="326"/>
      <c r="N21" s="326"/>
      <c r="O21" s="327"/>
      <c r="P21" s="273" t="s">
        <v>201</v>
      </c>
      <c r="Q21" s="309"/>
      <c r="R21" s="309"/>
      <c r="S21" s="41"/>
      <c r="T21" s="119" t="s">
        <v>252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06"/>
      <c r="AM21" s="106"/>
      <c r="AP21" s="45"/>
      <c r="AQ21" s="53"/>
      <c r="AR21" s="42"/>
      <c r="AS21" s="45"/>
      <c r="AT21" s="37"/>
      <c r="AU21" s="53"/>
      <c r="AV21" s="53"/>
      <c r="AW21" s="53"/>
      <c r="AX21" s="53"/>
      <c r="AY21" s="53"/>
      <c r="AZ21" s="53"/>
      <c r="BB21" s="42"/>
      <c r="BC21" s="42"/>
    </row>
    <row r="22" spans="1:55" ht="3" customHeight="1">
      <c r="B22" s="42"/>
      <c r="C22" s="42"/>
      <c r="D22" s="42"/>
      <c r="E22" s="80"/>
      <c r="F22" s="80"/>
      <c r="G22" s="80"/>
      <c r="H22" s="80"/>
      <c r="I22" s="91"/>
      <c r="J22" s="91"/>
      <c r="K22" s="91"/>
      <c r="L22" s="91"/>
      <c r="M22" s="91"/>
      <c r="N22" s="91"/>
      <c r="O22" s="91"/>
      <c r="P22" s="71"/>
      <c r="Q22" s="71"/>
      <c r="R22" s="71"/>
      <c r="S22" s="63"/>
      <c r="T22" s="63"/>
      <c r="U22" s="63"/>
      <c r="V22" s="63"/>
      <c r="W22" s="64"/>
      <c r="X22" s="64"/>
      <c r="Y22" s="64"/>
      <c r="Z22" s="64"/>
      <c r="AA22" s="64"/>
      <c r="AB22" s="40"/>
      <c r="AC22" s="40"/>
      <c r="AD22" s="40"/>
      <c r="AE22" s="40"/>
      <c r="AF22" s="64"/>
      <c r="AG22" s="64"/>
      <c r="AH22" s="63"/>
      <c r="AI22" s="63"/>
      <c r="AJ22" s="63"/>
    </row>
    <row r="23" spans="1:55" ht="15" customHeight="1">
      <c r="A23" s="36" t="s">
        <v>167</v>
      </c>
      <c r="B23" s="42"/>
      <c r="C23" s="42"/>
      <c r="D23" s="42"/>
      <c r="E23" s="66"/>
      <c r="F23" s="66"/>
      <c r="G23" s="66"/>
      <c r="H23" s="66"/>
      <c r="I23" s="65"/>
      <c r="J23" s="65"/>
      <c r="K23" s="65"/>
      <c r="L23" s="65"/>
      <c r="M23" s="65"/>
      <c r="N23" s="65"/>
      <c r="O23" s="65"/>
      <c r="P23" s="66"/>
      <c r="Q23" s="66"/>
      <c r="R23" s="66"/>
      <c r="S23" s="63"/>
      <c r="T23" s="63"/>
      <c r="U23" s="63"/>
      <c r="V23" s="63"/>
      <c r="W23" s="64"/>
      <c r="X23" s="64"/>
      <c r="Y23" s="64"/>
      <c r="Z23" s="64"/>
      <c r="AA23" s="64"/>
      <c r="AB23" s="40"/>
      <c r="AC23" s="40"/>
      <c r="AD23" s="40"/>
      <c r="AE23" s="40"/>
      <c r="AF23" s="64"/>
      <c r="AG23" s="64"/>
      <c r="AH23" s="63"/>
      <c r="AI23" s="63"/>
      <c r="AJ23" s="63"/>
    </row>
    <row r="24" spans="1:55" ht="15" customHeight="1">
      <c r="B24" s="135" t="s">
        <v>53</v>
      </c>
      <c r="C24" s="136"/>
      <c r="D24" s="136"/>
      <c r="E24" s="136"/>
      <c r="F24" s="136"/>
      <c r="G24" s="136"/>
      <c r="H24" s="137"/>
      <c r="I24" s="296" t="str">
        <f>既存設備!I24</f>
        <v>店舗</v>
      </c>
      <c r="J24" s="297"/>
      <c r="K24" s="297"/>
      <c r="L24" s="297"/>
      <c r="M24" s="297"/>
      <c r="N24" s="297"/>
      <c r="O24" s="297"/>
      <c r="P24" s="297"/>
      <c r="Q24" s="297"/>
      <c r="R24" s="298"/>
      <c r="S24" s="38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</row>
    <row r="25" spans="1:55" ht="15" customHeight="1">
      <c r="B25" s="277" t="s">
        <v>124</v>
      </c>
      <c r="C25" s="278"/>
      <c r="D25" s="278"/>
      <c r="E25" s="278"/>
      <c r="F25" s="278"/>
      <c r="G25" s="278"/>
      <c r="H25" s="279"/>
      <c r="I25" s="275" t="s">
        <v>259</v>
      </c>
      <c r="J25" s="276"/>
      <c r="K25" s="276"/>
      <c r="L25" s="276"/>
      <c r="M25" s="276"/>
      <c r="N25" s="276"/>
      <c r="O25" s="276"/>
      <c r="P25" s="276"/>
      <c r="Q25" s="276"/>
      <c r="R25" s="276"/>
      <c r="S25" s="38"/>
      <c r="T25" s="119" t="s">
        <v>198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</row>
    <row r="26" spans="1:55" ht="15" customHeight="1">
      <c r="B26" s="197" t="s">
        <v>115</v>
      </c>
      <c r="C26" s="199"/>
      <c r="D26" s="199"/>
      <c r="E26" s="199"/>
      <c r="F26" s="199"/>
      <c r="G26" s="199"/>
      <c r="H26" s="198"/>
      <c r="I26" s="130">
        <v>1</v>
      </c>
      <c r="J26" s="131"/>
      <c r="K26" s="131"/>
      <c r="L26" s="131"/>
      <c r="M26" s="131"/>
      <c r="N26" s="131"/>
      <c r="O26" s="132"/>
      <c r="P26" s="127" t="s">
        <v>223</v>
      </c>
      <c r="Q26" s="128"/>
      <c r="R26" s="129"/>
      <c r="S26" s="38"/>
      <c r="T26" s="119" t="s">
        <v>194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</row>
    <row r="27" spans="1:55" ht="3" customHeight="1">
      <c r="B27" s="80"/>
      <c r="C27" s="80"/>
      <c r="D27" s="80"/>
      <c r="E27" s="80"/>
      <c r="F27" s="80"/>
      <c r="G27" s="80"/>
      <c r="H27" s="80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63"/>
      <c r="T27" s="63"/>
      <c r="U27" s="63"/>
      <c r="V27" s="63"/>
      <c r="W27" s="64"/>
      <c r="X27" s="64"/>
      <c r="Y27" s="64"/>
      <c r="Z27" s="64"/>
      <c r="AA27" s="64"/>
      <c r="AB27" s="100"/>
      <c r="AC27" s="100"/>
      <c r="AD27" s="100"/>
      <c r="AE27" s="100"/>
      <c r="AF27" s="64"/>
      <c r="AG27" s="64"/>
      <c r="AH27" s="63"/>
      <c r="AI27" s="63"/>
      <c r="AJ27" s="63"/>
    </row>
    <row r="28" spans="1:55" ht="15" customHeight="1">
      <c r="A28" s="36" t="s">
        <v>170</v>
      </c>
      <c r="B28" s="42"/>
      <c r="C28" s="42"/>
      <c r="D28" s="42"/>
      <c r="E28" s="80"/>
      <c r="F28" s="80"/>
      <c r="G28" s="80"/>
      <c r="H28" s="80"/>
      <c r="I28" s="62"/>
      <c r="J28" s="62"/>
      <c r="K28" s="62"/>
      <c r="L28" s="62"/>
      <c r="M28" s="62"/>
      <c r="N28" s="62"/>
      <c r="O28" s="62"/>
      <c r="P28" s="80"/>
      <c r="Q28" s="80"/>
      <c r="R28" s="80"/>
      <c r="S28" s="63"/>
      <c r="T28" s="63"/>
      <c r="U28" s="63"/>
      <c r="V28" s="63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3"/>
      <c r="AI28" s="63"/>
      <c r="AJ28" s="63"/>
    </row>
    <row r="29" spans="1:55" ht="15" customHeight="1">
      <c r="B29" s="311" t="s">
        <v>171</v>
      </c>
      <c r="C29" s="311"/>
      <c r="D29" s="311"/>
      <c r="E29" s="311"/>
      <c r="F29" s="311"/>
      <c r="G29" s="311"/>
      <c r="H29" s="311"/>
      <c r="I29" s="370" t="str">
        <f>既存設備!I29:R29</f>
        <v>該当</v>
      </c>
      <c r="J29" s="370"/>
      <c r="K29" s="370"/>
      <c r="L29" s="370"/>
      <c r="M29" s="370"/>
      <c r="N29" s="370"/>
      <c r="O29" s="370"/>
      <c r="P29" s="370"/>
      <c r="Q29" s="370"/>
      <c r="R29" s="370"/>
      <c r="S29" s="38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V29" s="93" t="s">
        <v>163</v>
      </c>
    </row>
    <row r="30" spans="1:55" ht="15" customHeight="1">
      <c r="B30" s="113" t="s">
        <v>99</v>
      </c>
      <c r="C30" s="113"/>
      <c r="D30" s="113"/>
      <c r="E30" s="264" t="s">
        <v>125</v>
      </c>
      <c r="F30" s="264"/>
      <c r="G30" s="264"/>
      <c r="H30" s="264"/>
      <c r="I30" s="369" t="s">
        <v>134</v>
      </c>
      <c r="J30" s="369"/>
      <c r="K30" s="369"/>
      <c r="L30" s="369"/>
      <c r="M30" s="369"/>
      <c r="N30" s="369"/>
      <c r="O30" s="369"/>
      <c r="P30" s="369"/>
      <c r="Q30" s="369"/>
      <c r="R30" s="369"/>
      <c r="S30" s="38"/>
      <c r="T30" s="119" t="str">
        <f>IF(I29="該当","←「有り」「無し（一定値）」から選択","←入力不要")</f>
        <v>←「有り」「無し（一定値）」から選択</v>
      </c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Q30" s="94" t="s">
        <v>125</v>
      </c>
      <c r="AR30" s="94">
        <f>IF(I30="有り",0.5,1)</f>
        <v>0.5</v>
      </c>
      <c r="AS30" s="94" t="s">
        <v>93</v>
      </c>
      <c r="AT30" s="95">
        <f>ROUNDDOWN(AV30*AR30,1)</f>
        <v>21.3</v>
      </c>
      <c r="AV30" s="96">
        <f>ROUNDDOWN(1000*I32/3600*(I31+196)/0.8/0.93/1000,1)</f>
        <v>42.7</v>
      </c>
    </row>
    <row r="31" spans="1:55" ht="30" customHeight="1">
      <c r="B31" s="113"/>
      <c r="C31" s="113"/>
      <c r="D31" s="113"/>
      <c r="E31" s="268" t="s">
        <v>246</v>
      </c>
      <c r="F31" s="269"/>
      <c r="G31" s="269"/>
      <c r="H31" s="269"/>
      <c r="I31" s="362">
        <v>90</v>
      </c>
      <c r="J31" s="362"/>
      <c r="K31" s="362"/>
      <c r="L31" s="362"/>
      <c r="M31" s="362"/>
      <c r="N31" s="362"/>
      <c r="O31" s="363"/>
      <c r="P31" s="273" t="s">
        <v>92</v>
      </c>
      <c r="Q31" s="309"/>
      <c r="R31" s="309"/>
      <c r="S31" s="38"/>
      <c r="T31" s="119" t="str">
        <f>IF(I29="該当","←水頭損失を入力（半角）","←入力不要")</f>
        <v>←水頭損失を入力（半角）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</row>
    <row r="32" spans="1:55" ht="15" customHeight="1">
      <c r="B32" s="113"/>
      <c r="C32" s="113"/>
      <c r="D32" s="113"/>
      <c r="E32" s="113" t="s">
        <v>87</v>
      </c>
      <c r="F32" s="113"/>
      <c r="G32" s="113"/>
      <c r="H32" s="113"/>
      <c r="I32" s="362">
        <v>400</v>
      </c>
      <c r="J32" s="362"/>
      <c r="K32" s="362"/>
      <c r="L32" s="362"/>
      <c r="M32" s="362"/>
      <c r="N32" s="362"/>
      <c r="O32" s="363"/>
      <c r="P32" s="273" t="s">
        <v>230</v>
      </c>
      <c r="Q32" s="309"/>
      <c r="R32" s="309"/>
      <c r="S32" s="38"/>
      <c r="T32" s="119" t="str">
        <f>IF(I29="該当","←冷却水流量を入力（半角）","←入力不要")</f>
        <v>←冷却水流量を入力（半角）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R32" s="37"/>
      <c r="AS32" s="97"/>
      <c r="AT32" s="37"/>
      <c r="AU32" s="37"/>
    </row>
    <row r="33" spans="1:47" ht="3" customHeight="1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2"/>
      <c r="AC33" s="42"/>
      <c r="AD33" s="42"/>
      <c r="AE33" s="42"/>
      <c r="AF33" s="37"/>
      <c r="AG33" s="37"/>
      <c r="AH33" s="37"/>
      <c r="AI33" s="37"/>
      <c r="AJ33" s="37"/>
      <c r="AR33" s="37"/>
      <c r="AS33" s="37"/>
      <c r="AT33" s="37"/>
      <c r="AU33" s="37"/>
    </row>
    <row r="34" spans="1:47" ht="15" customHeight="1">
      <c r="A34" s="36" t="s">
        <v>169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80"/>
      <c r="AC34" s="80"/>
      <c r="AD34" s="80"/>
      <c r="AE34" s="80"/>
      <c r="AF34" s="42"/>
      <c r="AG34" s="42"/>
      <c r="AH34" s="42"/>
      <c r="AI34" s="80"/>
      <c r="AJ34" s="80"/>
    </row>
    <row r="35" spans="1:47" ht="30" customHeight="1">
      <c r="B35" s="188" t="s">
        <v>147</v>
      </c>
      <c r="C35" s="189"/>
      <c r="D35" s="190"/>
      <c r="E35" s="135" t="s">
        <v>55</v>
      </c>
      <c r="F35" s="137"/>
      <c r="G35" s="135" t="s">
        <v>13</v>
      </c>
      <c r="H35" s="136"/>
      <c r="I35" s="137"/>
      <c r="J35" s="364" t="s">
        <v>75</v>
      </c>
      <c r="K35" s="365"/>
      <c r="L35" s="366"/>
      <c r="M35" s="248" t="s">
        <v>127</v>
      </c>
      <c r="N35" s="249"/>
      <c r="O35" s="249"/>
      <c r="P35" s="250"/>
      <c r="Q35" s="135" t="s">
        <v>122</v>
      </c>
      <c r="R35" s="136"/>
      <c r="S35" s="137"/>
      <c r="T35" s="135" t="s">
        <v>106</v>
      </c>
      <c r="U35" s="136"/>
      <c r="V35" s="137"/>
      <c r="W35" s="135" t="s">
        <v>132</v>
      </c>
      <c r="X35" s="136"/>
      <c r="Y35" s="136"/>
      <c r="Z35" s="136"/>
      <c r="AA35" s="137"/>
      <c r="AB35" s="306" t="s">
        <v>240</v>
      </c>
      <c r="AC35" s="306"/>
      <c r="AD35" s="306"/>
      <c r="AE35" s="306"/>
      <c r="AF35" s="328"/>
      <c r="AG35" s="206"/>
      <c r="AH35" s="206"/>
      <c r="AI35" s="206"/>
      <c r="AJ35" s="206"/>
    </row>
    <row r="36" spans="1:47" ht="15" customHeight="1" thickBot="1">
      <c r="B36" s="191"/>
      <c r="C36" s="192"/>
      <c r="D36" s="193"/>
      <c r="E36" s="197"/>
      <c r="F36" s="198"/>
      <c r="G36" s="197"/>
      <c r="H36" s="199"/>
      <c r="I36" s="198"/>
      <c r="J36" s="252" t="s">
        <v>250</v>
      </c>
      <c r="K36" s="253"/>
      <c r="L36" s="254"/>
      <c r="M36" s="255" t="s">
        <v>110</v>
      </c>
      <c r="N36" s="256"/>
      <c r="O36" s="256"/>
      <c r="P36" s="257"/>
      <c r="Q36" s="197"/>
      <c r="R36" s="199"/>
      <c r="S36" s="198"/>
      <c r="T36" s="255" t="s">
        <v>107</v>
      </c>
      <c r="U36" s="256"/>
      <c r="V36" s="257"/>
      <c r="W36" s="344" t="s">
        <v>242</v>
      </c>
      <c r="X36" s="345"/>
      <c r="Y36" s="345"/>
      <c r="Z36" s="345"/>
      <c r="AA36" s="346"/>
      <c r="AB36" s="312" t="s">
        <v>241</v>
      </c>
      <c r="AC36" s="312"/>
      <c r="AD36" s="312"/>
      <c r="AE36" s="312"/>
      <c r="AF36" s="328"/>
      <c r="AG36" s="206"/>
      <c r="AH36" s="206"/>
      <c r="AI36" s="206"/>
      <c r="AJ36" s="206"/>
      <c r="AQ36" s="67" t="s">
        <v>78</v>
      </c>
      <c r="AR36" s="67" t="s">
        <v>79</v>
      </c>
      <c r="AT36" s="47" t="s">
        <v>164</v>
      </c>
    </row>
    <row r="37" spans="1:47" ht="15" customHeight="1" thickTop="1">
      <c r="B37" s="191"/>
      <c r="C37" s="192"/>
      <c r="D37" s="193"/>
      <c r="E37" s="173">
        <v>4</v>
      </c>
      <c r="F37" s="214"/>
      <c r="G37" s="215" t="str">
        <f>既存設備!G37</f>
        <v>暖房</v>
      </c>
      <c r="H37" s="216"/>
      <c r="I37" s="216"/>
      <c r="J37" s="320">
        <f>IFERROR(IF(G37="暖房",IF($P$19="kW",$I$19,$I$21*$I$19/3.6),IF($P$18="kW",$I$18,$I$21*$I$18/3.6)),"")</f>
        <v>1251.5</v>
      </c>
      <c r="K37" s="320"/>
      <c r="L37" s="320"/>
      <c r="M37" s="165">
        <f>既存設備!M37</f>
        <v>0.16</v>
      </c>
      <c r="N37" s="166"/>
      <c r="O37" s="166"/>
      <c r="P37" s="167"/>
      <c r="Q37" s="168">
        <f>IFERROR(VLOOKUP(E37&amp;G37&amp;$I$24&amp;$I$6,'&lt;吸収式&gt;マスタ'!$AI$8:$AP$151,8,0),"")</f>
        <v>0.9</v>
      </c>
      <c r="R37" s="169"/>
      <c r="S37" s="170"/>
      <c r="T37" s="351">
        <f>既存設備!T37</f>
        <v>300</v>
      </c>
      <c r="U37" s="352"/>
      <c r="V37" s="352"/>
      <c r="W37" s="337">
        <f>IFERROR(ROUNDDOWN(AT37*M37*T37*$I$26*'&lt;吸収式&gt;マスタ'!$F$21/$I$21,1),"")</f>
        <v>5339.5</v>
      </c>
      <c r="X37" s="338"/>
      <c r="Y37" s="338"/>
      <c r="Z37" s="338"/>
      <c r="AA37" s="339"/>
      <c r="AB37" s="313">
        <f>IFERROR(ROUNDDOWN(AT37*M37*T37*$I$26*'&lt;吸収式&gt;マスタ'!$F$21/$I$21,1)*VLOOKUP($I$20,'&lt;吸収式&gt;マスタ'!$F$28:$I$31,3,FALSE),"")</f>
        <v>5339.5</v>
      </c>
      <c r="AC37" s="313"/>
      <c r="AD37" s="313"/>
      <c r="AE37" s="314"/>
      <c r="AF37" s="359"/>
      <c r="AG37" s="360"/>
      <c r="AH37" s="360"/>
      <c r="AI37" s="360"/>
      <c r="AJ37" s="361"/>
      <c r="AK37" s="358"/>
      <c r="AL37" s="358"/>
      <c r="AM37" s="358"/>
      <c r="AQ37" s="76">
        <f>VLOOKUP(E37&amp;$I$24,'&lt;吸収式&gt;マスタ'!$Z$8:$AB$31,2,0)</f>
        <v>0</v>
      </c>
      <c r="AR37" s="76">
        <f>VLOOKUP(E37&amp;$I$24,'&lt;吸収式&gt;マスタ'!$Z$8:$AB$31,3,0)</f>
        <v>0.16</v>
      </c>
      <c r="AT37" s="70">
        <f>ROUNDDOWN(J37/Q37,1)</f>
        <v>1390.5</v>
      </c>
    </row>
    <row r="38" spans="1:47" ht="15" customHeight="1">
      <c r="B38" s="191"/>
      <c r="C38" s="192"/>
      <c r="D38" s="193"/>
      <c r="E38" s="173">
        <v>5</v>
      </c>
      <c r="F38" s="214"/>
      <c r="G38" s="215" t="str">
        <f>既存設備!G38</f>
        <v>冷房</v>
      </c>
      <c r="H38" s="216"/>
      <c r="I38" s="216"/>
      <c r="J38" s="320">
        <f t="shared" ref="J38:J48" si="0">IFERROR(IF(G38="暖房",IF($P$19="kW",$I$19,$I$21*$I$19/3.6),IF($P$18="kW",$I$18,$I$21*$I$18/3.6)),"")</f>
        <v>1203.2</v>
      </c>
      <c r="K38" s="320"/>
      <c r="L38" s="320"/>
      <c r="M38" s="165">
        <f>既存設備!M38</f>
        <v>0.29599999999999999</v>
      </c>
      <c r="N38" s="166"/>
      <c r="O38" s="166"/>
      <c r="P38" s="167"/>
      <c r="Q38" s="168">
        <f>IFERROR(VLOOKUP(E38&amp;G38&amp;$I$24&amp;$I$6,'&lt;吸収式&gt;マスタ'!$AI$8:$AP$151,8,0),"")</f>
        <v>0.96</v>
      </c>
      <c r="R38" s="169"/>
      <c r="S38" s="170"/>
      <c r="T38" s="351">
        <f>既存設備!T38</f>
        <v>300</v>
      </c>
      <c r="U38" s="352"/>
      <c r="V38" s="352"/>
      <c r="W38" s="317">
        <f>IFERROR(ROUNDDOWN(AT38*M38*T38*$I$26*'&lt;吸収式&gt;マスタ'!$F$21/$I$21,1),"")</f>
        <v>8903.4</v>
      </c>
      <c r="X38" s="318"/>
      <c r="Y38" s="318"/>
      <c r="Z38" s="318"/>
      <c r="AA38" s="319"/>
      <c r="AB38" s="236">
        <f>IFERROR(ROUNDDOWN(AT38*M38*T38*$I$26*'&lt;吸収式&gt;マスタ'!$F$21/$I$21,1)*VLOOKUP($I$20,'&lt;吸収式&gt;マスタ'!$F$28:$I$31,3,FALSE),"")</f>
        <v>8903.4</v>
      </c>
      <c r="AC38" s="236"/>
      <c r="AD38" s="236"/>
      <c r="AE38" s="237"/>
      <c r="AF38" s="353"/>
      <c r="AG38" s="354"/>
      <c r="AH38" s="354"/>
      <c r="AI38" s="354"/>
      <c r="AJ38" s="355"/>
      <c r="AQ38" s="76">
        <f>VLOOKUP(E38&amp;$I$24,'&lt;吸収式&gt;マスタ'!$Z$8:$AB$31,2,0)</f>
        <v>0.29599999999999999</v>
      </c>
      <c r="AR38" s="76">
        <f>VLOOKUP(E38&amp;$I$24,'&lt;吸収式&gt;マスタ'!$Z$8:$AB$31,3,0)</f>
        <v>0</v>
      </c>
      <c r="AT38" s="70">
        <f t="shared" ref="AT38:AT48" si="1">ROUNDDOWN(J38/Q38,1)</f>
        <v>1253.3</v>
      </c>
    </row>
    <row r="39" spans="1:47" ht="15" customHeight="1">
      <c r="B39" s="191"/>
      <c r="C39" s="192"/>
      <c r="D39" s="193"/>
      <c r="E39" s="173">
        <v>6</v>
      </c>
      <c r="F39" s="214"/>
      <c r="G39" s="215" t="str">
        <f>既存設備!G39</f>
        <v>冷房</v>
      </c>
      <c r="H39" s="216"/>
      <c r="I39" s="216"/>
      <c r="J39" s="320">
        <f t="shared" si="0"/>
        <v>1203.2</v>
      </c>
      <c r="K39" s="320"/>
      <c r="L39" s="320"/>
      <c r="M39" s="165">
        <f>既存設備!M39</f>
        <v>0.435</v>
      </c>
      <c r="N39" s="166"/>
      <c r="O39" s="166"/>
      <c r="P39" s="167"/>
      <c r="Q39" s="168">
        <f>IFERROR(VLOOKUP(E39&amp;G39&amp;$I$24&amp;$I$6,'&lt;吸収式&gt;マスタ'!$AI$8:$AP$151,8,0),"")</f>
        <v>1.07</v>
      </c>
      <c r="R39" s="169"/>
      <c r="S39" s="170"/>
      <c r="T39" s="351">
        <f>既存設備!T39</f>
        <v>300</v>
      </c>
      <c r="U39" s="352"/>
      <c r="V39" s="352"/>
      <c r="W39" s="317">
        <f>IFERROR(ROUNDDOWN(AT39*M39*T39*$I$26*'&lt;吸収式&gt;マスタ'!$F$21/$I$21,1),"")</f>
        <v>11738.7</v>
      </c>
      <c r="X39" s="318"/>
      <c r="Y39" s="318"/>
      <c r="Z39" s="318"/>
      <c r="AA39" s="319"/>
      <c r="AB39" s="236">
        <f>IFERROR(ROUNDDOWN(AT39*M39*T39*$I$26*'&lt;吸収式&gt;マスタ'!$F$21/$I$21,1)*VLOOKUP($I$20,'&lt;吸収式&gt;マスタ'!$F$28:$I$31,3,FALSE),"")</f>
        <v>11738.7</v>
      </c>
      <c r="AC39" s="236"/>
      <c r="AD39" s="236"/>
      <c r="AE39" s="237"/>
      <c r="AF39" s="353"/>
      <c r="AG39" s="354"/>
      <c r="AH39" s="354"/>
      <c r="AI39" s="354"/>
      <c r="AJ39" s="355"/>
      <c r="AQ39" s="76">
        <f>VLOOKUP(E39&amp;$I$24,'&lt;吸収式&gt;マスタ'!$Z$8:$AB$31,2,0)</f>
        <v>0.435</v>
      </c>
      <c r="AR39" s="76">
        <f>VLOOKUP(E39&amp;$I$24,'&lt;吸収式&gt;マスタ'!$Z$8:$AB$31,3,0)</f>
        <v>0</v>
      </c>
      <c r="AT39" s="70">
        <f t="shared" si="1"/>
        <v>1124.4000000000001</v>
      </c>
    </row>
    <row r="40" spans="1:47" ht="15" customHeight="1">
      <c r="B40" s="191"/>
      <c r="C40" s="192"/>
      <c r="D40" s="193"/>
      <c r="E40" s="173">
        <v>7</v>
      </c>
      <c r="F40" s="214"/>
      <c r="G40" s="215" t="str">
        <f>既存設備!G40</f>
        <v>冷房</v>
      </c>
      <c r="H40" s="216"/>
      <c r="I40" s="216"/>
      <c r="J40" s="320">
        <f t="shared" si="0"/>
        <v>1203.2</v>
      </c>
      <c r="K40" s="320"/>
      <c r="L40" s="320"/>
      <c r="M40" s="165">
        <f>既存設備!M40</f>
        <v>0.64100000000000001</v>
      </c>
      <c r="N40" s="166"/>
      <c r="O40" s="166"/>
      <c r="P40" s="167"/>
      <c r="Q40" s="168">
        <f>IFERROR(VLOOKUP(E40&amp;G40&amp;$I$24&amp;$I$6,'&lt;吸収式&gt;マスタ'!$AI$8:$AP$151,8,0),"")</f>
        <v>1.05</v>
      </c>
      <c r="R40" s="169"/>
      <c r="S40" s="170"/>
      <c r="T40" s="351">
        <f>既存設備!T40</f>
        <v>300</v>
      </c>
      <c r="U40" s="352"/>
      <c r="V40" s="352"/>
      <c r="W40" s="317">
        <f>IFERROR(ROUNDDOWN(AT40*M40*T40*$I$26*'&lt;吸収式&gt;マスタ'!$F$21/$I$21,1),"")</f>
        <v>17628.5</v>
      </c>
      <c r="X40" s="318"/>
      <c r="Y40" s="318"/>
      <c r="Z40" s="318"/>
      <c r="AA40" s="319"/>
      <c r="AB40" s="236">
        <f>IFERROR(ROUNDDOWN(AT40*M40*T40*$I$26*'&lt;吸収式&gt;マスタ'!$F$21/$I$21,1)*VLOOKUP($I$20,'&lt;吸収式&gt;マスタ'!$F$28:$I$31,3,FALSE),"")</f>
        <v>17628.5</v>
      </c>
      <c r="AC40" s="236"/>
      <c r="AD40" s="236"/>
      <c r="AE40" s="237"/>
      <c r="AF40" s="353"/>
      <c r="AG40" s="354"/>
      <c r="AH40" s="354"/>
      <c r="AI40" s="354"/>
      <c r="AJ40" s="355"/>
      <c r="AQ40" s="76">
        <f>VLOOKUP(E40&amp;$I$24,'&lt;吸収式&gt;マスタ'!$Z$8:$AB$31,2,0)</f>
        <v>0.64100000000000001</v>
      </c>
      <c r="AR40" s="76">
        <f>VLOOKUP(E40&amp;$I$24,'&lt;吸収式&gt;マスタ'!$Z$8:$AB$31,3,0)</f>
        <v>0</v>
      </c>
      <c r="AT40" s="70">
        <f t="shared" si="1"/>
        <v>1145.9000000000001</v>
      </c>
    </row>
    <row r="41" spans="1:47" ht="15" customHeight="1">
      <c r="B41" s="191"/>
      <c r="C41" s="192"/>
      <c r="D41" s="193"/>
      <c r="E41" s="173">
        <v>8</v>
      </c>
      <c r="F41" s="214"/>
      <c r="G41" s="215" t="str">
        <f>既存設備!G41</f>
        <v>冷房</v>
      </c>
      <c r="H41" s="216"/>
      <c r="I41" s="216"/>
      <c r="J41" s="320">
        <f t="shared" si="0"/>
        <v>1203.2</v>
      </c>
      <c r="K41" s="320"/>
      <c r="L41" s="320"/>
      <c r="M41" s="165">
        <f>既存設備!M41</f>
        <v>0.69299999999999995</v>
      </c>
      <c r="N41" s="166"/>
      <c r="O41" s="166"/>
      <c r="P41" s="167"/>
      <c r="Q41" s="168">
        <f>IFERROR(VLOOKUP(E41&amp;G41&amp;$I$24&amp;$I$6,'&lt;吸収式&gt;マスタ'!$AI$8:$AP$151,8,0),"")</f>
        <v>1.04</v>
      </c>
      <c r="R41" s="169"/>
      <c r="S41" s="170"/>
      <c r="T41" s="351">
        <f>既存設備!T41</f>
        <v>300</v>
      </c>
      <c r="U41" s="352"/>
      <c r="V41" s="352"/>
      <c r="W41" s="317">
        <f>IFERROR(ROUNDDOWN(AT41*M41*T41*$I$26*'&lt;吸収式&gt;マスタ'!$F$21/$I$21,1),"")</f>
        <v>19241.5</v>
      </c>
      <c r="X41" s="318"/>
      <c r="Y41" s="318"/>
      <c r="Z41" s="318"/>
      <c r="AA41" s="319"/>
      <c r="AB41" s="236">
        <f>IFERROR(ROUNDDOWN(AT41*M41*T41*$I$26*'&lt;吸収式&gt;マスタ'!$F$21/$I$21,1)*VLOOKUP($I$20,'&lt;吸収式&gt;マスタ'!$F$28:$I$31,3,FALSE),"")</f>
        <v>19241.5</v>
      </c>
      <c r="AC41" s="236"/>
      <c r="AD41" s="236"/>
      <c r="AE41" s="237"/>
      <c r="AF41" s="353"/>
      <c r="AG41" s="354"/>
      <c r="AH41" s="354"/>
      <c r="AI41" s="354"/>
      <c r="AJ41" s="355"/>
      <c r="AQ41" s="76">
        <f>VLOOKUP(E41&amp;$I$24,'&lt;吸収式&gt;マスタ'!$Z$8:$AB$31,2,0)</f>
        <v>0.69299999999999995</v>
      </c>
      <c r="AR41" s="76">
        <f>VLOOKUP(E41&amp;$I$24,'&lt;吸収式&gt;マスタ'!$Z$8:$AB$31,3,0)</f>
        <v>0</v>
      </c>
      <c r="AT41" s="70">
        <f t="shared" si="1"/>
        <v>1156.9000000000001</v>
      </c>
    </row>
    <row r="42" spans="1:47" ht="15" customHeight="1">
      <c r="B42" s="191"/>
      <c r="C42" s="192"/>
      <c r="D42" s="193"/>
      <c r="E42" s="173">
        <v>9</v>
      </c>
      <c r="F42" s="214"/>
      <c r="G42" s="215" t="str">
        <f>既存設備!G42</f>
        <v>冷房</v>
      </c>
      <c r="H42" s="216"/>
      <c r="I42" s="216"/>
      <c r="J42" s="320">
        <f t="shared" si="0"/>
        <v>1203.2</v>
      </c>
      <c r="K42" s="320"/>
      <c r="L42" s="320"/>
      <c r="M42" s="165">
        <f>既存設備!M42</f>
        <v>0.47</v>
      </c>
      <c r="N42" s="166"/>
      <c r="O42" s="166"/>
      <c r="P42" s="167"/>
      <c r="Q42" s="168">
        <f>IFERROR(VLOOKUP(E42&amp;G42&amp;$I$24&amp;$I$6,'&lt;吸収式&gt;マスタ'!$AI$8:$AP$151,8,0),"")</f>
        <v>1.07</v>
      </c>
      <c r="R42" s="169"/>
      <c r="S42" s="170"/>
      <c r="T42" s="351">
        <f>既存設備!T42</f>
        <v>300</v>
      </c>
      <c r="U42" s="352"/>
      <c r="V42" s="352"/>
      <c r="W42" s="317">
        <f>IFERROR(ROUNDDOWN(AT42*M42*T42*$I$26*'&lt;吸収式&gt;マスタ'!$F$21/$I$21,1),"")</f>
        <v>12683.2</v>
      </c>
      <c r="X42" s="318"/>
      <c r="Y42" s="318"/>
      <c r="Z42" s="318"/>
      <c r="AA42" s="319"/>
      <c r="AB42" s="236">
        <f>IFERROR(ROUNDDOWN(AT42*M42*T42*$I$26*'&lt;吸収式&gt;マスタ'!$F$21/$I$21,1)*VLOOKUP($I$20,'&lt;吸収式&gt;マスタ'!$F$28:$I$31,3,FALSE),"")</f>
        <v>12683.2</v>
      </c>
      <c r="AC42" s="236"/>
      <c r="AD42" s="236"/>
      <c r="AE42" s="237"/>
      <c r="AF42" s="353"/>
      <c r="AG42" s="354"/>
      <c r="AH42" s="354"/>
      <c r="AI42" s="354"/>
      <c r="AJ42" s="355"/>
      <c r="AQ42" s="76">
        <f>VLOOKUP(E42&amp;$I$24,'&lt;吸収式&gt;マスタ'!$Z$8:$AB$31,2,0)</f>
        <v>0.47</v>
      </c>
      <c r="AR42" s="76">
        <f>VLOOKUP(E42&amp;$I$24,'&lt;吸収式&gt;マスタ'!$Z$8:$AB$31,3,0)</f>
        <v>0</v>
      </c>
      <c r="AT42" s="70">
        <f t="shared" si="1"/>
        <v>1124.4000000000001</v>
      </c>
    </row>
    <row r="43" spans="1:47" ht="15" customHeight="1">
      <c r="B43" s="191"/>
      <c r="C43" s="192"/>
      <c r="D43" s="193"/>
      <c r="E43" s="173">
        <v>10</v>
      </c>
      <c r="F43" s="214"/>
      <c r="G43" s="215" t="str">
        <f>既存設備!G43</f>
        <v>冷房</v>
      </c>
      <c r="H43" s="216"/>
      <c r="I43" s="216"/>
      <c r="J43" s="320">
        <f t="shared" si="0"/>
        <v>1203.2</v>
      </c>
      <c r="K43" s="320"/>
      <c r="L43" s="320"/>
      <c r="M43" s="165">
        <f>既存設備!M43</f>
        <v>0.36399999999999999</v>
      </c>
      <c r="N43" s="166"/>
      <c r="O43" s="166"/>
      <c r="P43" s="167"/>
      <c r="Q43" s="168">
        <f>IFERROR(VLOOKUP(E43&amp;G43&amp;$I$24&amp;$I$6,'&lt;吸収式&gt;マスタ'!$AI$8:$AP$151,8,0),"")</f>
        <v>1.07</v>
      </c>
      <c r="R43" s="169"/>
      <c r="S43" s="170"/>
      <c r="T43" s="351">
        <f>既存設備!T43</f>
        <v>300</v>
      </c>
      <c r="U43" s="352"/>
      <c r="V43" s="352"/>
      <c r="W43" s="317">
        <f>IFERROR(ROUNDDOWN(AT43*M43*T43*$I$26*'&lt;吸収式&gt;マスタ'!$F$21/$I$21,1),"")</f>
        <v>9822.7000000000007</v>
      </c>
      <c r="X43" s="318"/>
      <c r="Y43" s="318"/>
      <c r="Z43" s="318"/>
      <c r="AA43" s="319"/>
      <c r="AB43" s="236">
        <f>IFERROR(ROUNDDOWN(AT43*M43*T43*$I$26*'&lt;吸収式&gt;マスタ'!$F$21/$I$21,1)*VLOOKUP($I$20,'&lt;吸収式&gt;マスタ'!$F$28:$I$31,3,FALSE),"")</f>
        <v>9822.7000000000007</v>
      </c>
      <c r="AC43" s="236"/>
      <c r="AD43" s="236"/>
      <c r="AE43" s="237"/>
      <c r="AF43" s="353"/>
      <c r="AG43" s="354"/>
      <c r="AH43" s="354"/>
      <c r="AI43" s="354"/>
      <c r="AJ43" s="355"/>
      <c r="AQ43" s="76">
        <f>VLOOKUP(E43&amp;$I$24,'&lt;吸収式&gt;マスタ'!$Z$8:$AB$31,2,0)</f>
        <v>0.36399999999999999</v>
      </c>
      <c r="AR43" s="76">
        <f>VLOOKUP(E43&amp;$I$24,'&lt;吸収式&gt;マスタ'!$Z$8:$AB$31,3,0)</f>
        <v>0</v>
      </c>
      <c r="AT43" s="70">
        <f t="shared" si="1"/>
        <v>1124.4000000000001</v>
      </c>
    </row>
    <row r="44" spans="1:47" ht="15" customHeight="1">
      <c r="B44" s="191"/>
      <c r="C44" s="192"/>
      <c r="D44" s="193"/>
      <c r="E44" s="173">
        <v>11</v>
      </c>
      <c r="F44" s="214"/>
      <c r="G44" s="215" t="str">
        <f>既存設備!G44</f>
        <v>暖房</v>
      </c>
      <c r="H44" s="216"/>
      <c r="I44" s="216"/>
      <c r="J44" s="320">
        <f t="shared" si="0"/>
        <v>1251.5</v>
      </c>
      <c r="K44" s="320"/>
      <c r="L44" s="320"/>
      <c r="M44" s="165">
        <f>既存設備!M44</f>
        <v>0.154</v>
      </c>
      <c r="N44" s="166"/>
      <c r="O44" s="166"/>
      <c r="P44" s="167"/>
      <c r="Q44" s="168">
        <f>IFERROR(VLOOKUP(E44&amp;G44&amp;$I$24&amp;$I$6,'&lt;吸収式&gt;マスタ'!$AI$8:$AP$151,8,0),"")</f>
        <v>0.9</v>
      </c>
      <c r="R44" s="169"/>
      <c r="S44" s="170"/>
      <c r="T44" s="351">
        <f>既存設備!T44</f>
        <v>300</v>
      </c>
      <c r="U44" s="352"/>
      <c r="V44" s="352"/>
      <c r="W44" s="317">
        <f>IFERROR(ROUNDDOWN(AT44*M44*T44*$I$26*'&lt;吸収式&gt;マスタ'!$F$21/$I$21,1),"")</f>
        <v>5139.2</v>
      </c>
      <c r="X44" s="318"/>
      <c r="Y44" s="318"/>
      <c r="Z44" s="318"/>
      <c r="AA44" s="319"/>
      <c r="AB44" s="236">
        <f>IFERROR(ROUNDDOWN(AT44*M44*T44*$I$26*'&lt;吸収式&gt;マスタ'!$F$21/$I$21,1)*VLOOKUP($I$20,'&lt;吸収式&gt;マスタ'!$F$28:$I$31,3,FALSE),"")</f>
        <v>5139.2</v>
      </c>
      <c r="AC44" s="236"/>
      <c r="AD44" s="236"/>
      <c r="AE44" s="237"/>
      <c r="AF44" s="353"/>
      <c r="AG44" s="354"/>
      <c r="AH44" s="354"/>
      <c r="AI44" s="354"/>
      <c r="AJ44" s="355"/>
      <c r="AQ44" s="76">
        <f>VLOOKUP(E44&amp;$I$24,'&lt;吸収式&gt;マスタ'!$Z$8:$AB$31,2,0)</f>
        <v>0</v>
      </c>
      <c r="AR44" s="76">
        <f>VLOOKUP(E44&amp;$I$24,'&lt;吸収式&gt;マスタ'!$Z$8:$AB$31,3,0)</f>
        <v>0.154</v>
      </c>
      <c r="AT44" s="70">
        <f t="shared" si="1"/>
        <v>1390.5</v>
      </c>
    </row>
    <row r="45" spans="1:47" ht="15" customHeight="1">
      <c r="B45" s="191"/>
      <c r="C45" s="192"/>
      <c r="D45" s="193"/>
      <c r="E45" s="173">
        <v>12</v>
      </c>
      <c r="F45" s="214"/>
      <c r="G45" s="215" t="str">
        <f>既存設備!G45</f>
        <v>暖房</v>
      </c>
      <c r="H45" s="216"/>
      <c r="I45" s="216"/>
      <c r="J45" s="320">
        <f t="shared" si="0"/>
        <v>1251.5</v>
      </c>
      <c r="K45" s="320"/>
      <c r="L45" s="320"/>
      <c r="M45" s="165">
        <f>既存設備!M45</f>
        <v>0.371</v>
      </c>
      <c r="N45" s="166"/>
      <c r="O45" s="166"/>
      <c r="P45" s="167"/>
      <c r="Q45" s="168">
        <f>IFERROR(VLOOKUP(E45&amp;G45&amp;$I$24&amp;$I$6,'&lt;吸収式&gt;マスタ'!$AI$8:$AP$151,8,0),"")</f>
        <v>1</v>
      </c>
      <c r="R45" s="169"/>
      <c r="S45" s="170"/>
      <c r="T45" s="351">
        <f>既存設備!T45</f>
        <v>300</v>
      </c>
      <c r="U45" s="352"/>
      <c r="V45" s="352"/>
      <c r="W45" s="317">
        <f>IFERROR(ROUNDDOWN(AT45*M45*T45*$I$26*'&lt;吸収式&gt;マスタ'!$F$21/$I$21,1),"")</f>
        <v>11143.3</v>
      </c>
      <c r="X45" s="318"/>
      <c r="Y45" s="318"/>
      <c r="Z45" s="318"/>
      <c r="AA45" s="319"/>
      <c r="AB45" s="236">
        <f>IFERROR(ROUNDDOWN(AT45*M45*T45*$I$26*'&lt;吸収式&gt;マスタ'!$F$21/$I$21,1)*VLOOKUP($I$20,'&lt;吸収式&gt;マスタ'!$F$28:$I$31,3,FALSE),"")</f>
        <v>11143.3</v>
      </c>
      <c r="AC45" s="236"/>
      <c r="AD45" s="236"/>
      <c r="AE45" s="237"/>
      <c r="AF45" s="353"/>
      <c r="AG45" s="354"/>
      <c r="AH45" s="354"/>
      <c r="AI45" s="354"/>
      <c r="AJ45" s="355"/>
      <c r="AQ45" s="76">
        <f>VLOOKUP(E45&amp;$I$24,'&lt;吸収式&gt;マスタ'!$Z$8:$AB$31,2,0)</f>
        <v>0</v>
      </c>
      <c r="AR45" s="76">
        <f>VLOOKUP(E45&amp;$I$24,'&lt;吸収式&gt;マスタ'!$Z$8:$AB$31,3,0)</f>
        <v>0.371</v>
      </c>
      <c r="AT45" s="70">
        <f t="shared" si="1"/>
        <v>1251.5</v>
      </c>
    </row>
    <row r="46" spans="1:47" ht="15" customHeight="1">
      <c r="B46" s="191"/>
      <c r="C46" s="192"/>
      <c r="D46" s="193"/>
      <c r="E46" s="173">
        <v>1</v>
      </c>
      <c r="F46" s="214"/>
      <c r="G46" s="215" t="str">
        <f>既存設備!G46</f>
        <v>暖房</v>
      </c>
      <c r="H46" s="216"/>
      <c r="I46" s="216"/>
      <c r="J46" s="320">
        <f t="shared" si="0"/>
        <v>1251.5</v>
      </c>
      <c r="K46" s="320"/>
      <c r="L46" s="320"/>
      <c r="M46" s="165">
        <f>既存設備!M46</f>
        <v>0.56200000000000006</v>
      </c>
      <c r="N46" s="166"/>
      <c r="O46" s="166"/>
      <c r="P46" s="167"/>
      <c r="Q46" s="168">
        <f>IFERROR(VLOOKUP(E46&amp;G46&amp;$I$24&amp;$I$6,'&lt;吸収式&gt;マスタ'!$AI$8:$AP$151,8,0),"")</f>
        <v>1</v>
      </c>
      <c r="R46" s="169"/>
      <c r="S46" s="170"/>
      <c r="T46" s="351">
        <f>既存設備!T46</f>
        <v>300</v>
      </c>
      <c r="U46" s="352"/>
      <c r="V46" s="352"/>
      <c r="W46" s="317">
        <f>IFERROR(ROUNDDOWN(AT46*M46*T46*$I$26*'&lt;吸収式&gt;マスタ'!$F$21/$I$21,1),"")</f>
        <v>16880.2</v>
      </c>
      <c r="X46" s="318"/>
      <c r="Y46" s="318"/>
      <c r="Z46" s="318"/>
      <c r="AA46" s="319"/>
      <c r="AB46" s="236">
        <f>IFERROR(ROUNDDOWN(AT46*M46*T46*$I$26*'&lt;吸収式&gt;マスタ'!$F$21/$I$21,1)*VLOOKUP($I$20,'&lt;吸収式&gt;マスタ'!$F$28:$I$31,3,FALSE),"")</f>
        <v>16880.2</v>
      </c>
      <c r="AC46" s="236"/>
      <c r="AD46" s="236"/>
      <c r="AE46" s="237"/>
      <c r="AF46" s="353"/>
      <c r="AG46" s="354"/>
      <c r="AH46" s="354"/>
      <c r="AI46" s="354"/>
      <c r="AJ46" s="355"/>
      <c r="AQ46" s="76">
        <f>VLOOKUP(E46&amp;$I$24,'&lt;吸収式&gt;マスタ'!$Z$8:$AB$31,2,0)</f>
        <v>0</v>
      </c>
      <c r="AR46" s="76">
        <f>VLOOKUP(E46&amp;$I$24,'&lt;吸収式&gt;マスタ'!$Z$8:$AB$31,3,0)</f>
        <v>0.56200000000000006</v>
      </c>
      <c r="AT46" s="70">
        <f t="shared" si="1"/>
        <v>1251.5</v>
      </c>
    </row>
    <row r="47" spans="1:47" ht="15" customHeight="1">
      <c r="B47" s="191"/>
      <c r="C47" s="192"/>
      <c r="D47" s="193"/>
      <c r="E47" s="173">
        <v>2</v>
      </c>
      <c r="F47" s="214"/>
      <c r="G47" s="215" t="str">
        <f>既存設備!G47</f>
        <v>暖房</v>
      </c>
      <c r="H47" s="216"/>
      <c r="I47" s="216"/>
      <c r="J47" s="320">
        <f t="shared" si="0"/>
        <v>1251.5</v>
      </c>
      <c r="K47" s="320"/>
      <c r="L47" s="320"/>
      <c r="M47" s="165">
        <f>既存設備!M47</f>
        <v>0.56200000000000006</v>
      </c>
      <c r="N47" s="166"/>
      <c r="O47" s="166"/>
      <c r="P47" s="167"/>
      <c r="Q47" s="168">
        <f>IFERROR(VLOOKUP(E47&amp;G47&amp;$I$24&amp;$I$6,'&lt;吸収式&gt;マスタ'!$AI$8:$AP$151,8,0),"")</f>
        <v>1</v>
      </c>
      <c r="R47" s="169"/>
      <c r="S47" s="170"/>
      <c r="T47" s="351">
        <f>既存設備!T47</f>
        <v>300</v>
      </c>
      <c r="U47" s="352"/>
      <c r="V47" s="352"/>
      <c r="W47" s="317">
        <f>IFERROR(ROUNDDOWN(AT47*M47*T47*$I$26*'&lt;吸収式&gt;マスタ'!$F$21/$I$21,1),"")</f>
        <v>16880.2</v>
      </c>
      <c r="X47" s="318"/>
      <c r="Y47" s="318"/>
      <c r="Z47" s="318"/>
      <c r="AA47" s="319"/>
      <c r="AB47" s="236">
        <f>IFERROR(ROUNDDOWN(AT47*M47*T47*$I$26*'&lt;吸収式&gt;マスタ'!$F$21/$I$21,1)*VLOOKUP($I$20,'&lt;吸収式&gt;マスタ'!$F$28:$I$31,3,FALSE),"")</f>
        <v>16880.2</v>
      </c>
      <c r="AC47" s="236"/>
      <c r="AD47" s="236"/>
      <c r="AE47" s="237"/>
      <c r="AF47" s="353"/>
      <c r="AG47" s="354"/>
      <c r="AH47" s="354"/>
      <c r="AI47" s="354"/>
      <c r="AJ47" s="355"/>
      <c r="AQ47" s="76">
        <f>VLOOKUP(E47&amp;$I$24,'&lt;吸収式&gt;マスタ'!$Z$8:$AB$31,2,0)</f>
        <v>0</v>
      </c>
      <c r="AR47" s="76">
        <f>VLOOKUP(E47&amp;$I$24,'&lt;吸収式&gt;マスタ'!$Z$8:$AB$31,3,0)</f>
        <v>0.56200000000000006</v>
      </c>
      <c r="AT47" s="70">
        <f t="shared" si="1"/>
        <v>1251.5</v>
      </c>
    </row>
    <row r="48" spans="1:47" ht="15" customHeight="1" thickBot="1">
      <c r="B48" s="191"/>
      <c r="C48" s="192"/>
      <c r="D48" s="193"/>
      <c r="E48" s="173">
        <v>3</v>
      </c>
      <c r="F48" s="214"/>
      <c r="G48" s="215" t="str">
        <f>既存設備!G48</f>
        <v>暖房</v>
      </c>
      <c r="H48" s="216"/>
      <c r="I48" s="216"/>
      <c r="J48" s="320">
        <f t="shared" si="0"/>
        <v>1251.5</v>
      </c>
      <c r="K48" s="320"/>
      <c r="L48" s="320"/>
      <c r="M48" s="165">
        <f>既存設備!M48</f>
        <v>0.27300000000000002</v>
      </c>
      <c r="N48" s="166"/>
      <c r="O48" s="166"/>
      <c r="P48" s="167"/>
      <c r="Q48" s="168">
        <f>IFERROR(VLOOKUP(E48&amp;G48&amp;$I$24&amp;$I$6,'&lt;吸収式&gt;マスタ'!$AI$8:$AP$151,8,0),"")</f>
        <v>0.9</v>
      </c>
      <c r="R48" s="169"/>
      <c r="S48" s="170"/>
      <c r="T48" s="356">
        <f>既存設備!T48</f>
        <v>300</v>
      </c>
      <c r="U48" s="357"/>
      <c r="V48" s="357"/>
      <c r="W48" s="348">
        <f>IFERROR(ROUNDDOWN(AT48*M48*T48*$I$26*'&lt;吸収式&gt;マスタ'!$F$21/$I$21,1),"")</f>
        <v>9110.5</v>
      </c>
      <c r="X48" s="349"/>
      <c r="Y48" s="349"/>
      <c r="Z48" s="349"/>
      <c r="AA48" s="350"/>
      <c r="AB48" s="238">
        <f>IFERROR(ROUNDDOWN(AT48*M48*T48*$I$26*'&lt;吸収式&gt;マスタ'!$F$21/$I$21,1)*VLOOKUP($I$20,'&lt;吸収式&gt;マスタ'!$F$28:$I$31,3,FALSE),"")</f>
        <v>9110.5</v>
      </c>
      <c r="AC48" s="238"/>
      <c r="AD48" s="238"/>
      <c r="AE48" s="239"/>
      <c r="AF48" s="134" t="s">
        <v>239</v>
      </c>
      <c r="AG48" s="134"/>
      <c r="AH48" s="134"/>
      <c r="AI48" s="134"/>
      <c r="AJ48" s="134"/>
      <c r="AK48" s="134"/>
      <c r="AL48" s="134"/>
      <c r="AQ48" s="76">
        <f>VLOOKUP(E48&amp;$I$24,'&lt;吸収式&gt;マスタ'!$Z$8:$AB$31,2,0)</f>
        <v>0</v>
      </c>
      <c r="AR48" s="76">
        <f>VLOOKUP(E48&amp;$I$24,'&lt;吸収式&gt;マスタ'!$Z$8:$AB$31,3,0)</f>
        <v>0.27300000000000002</v>
      </c>
      <c r="AT48" s="70">
        <f t="shared" si="1"/>
        <v>1390.5</v>
      </c>
    </row>
    <row r="49" spans="1:48" s="79" customFormat="1" ht="15" customHeight="1" thickTop="1" thickBot="1">
      <c r="A49" s="36"/>
      <c r="B49" s="194"/>
      <c r="C49" s="195"/>
      <c r="D49" s="196"/>
      <c r="E49" s="138" t="s">
        <v>57</v>
      </c>
      <c r="F49" s="178"/>
      <c r="G49" s="179" t="s">
        <v>135</v>
      </c>
      <c r="H49" s="180"/>
      <c r="I49" s="347"/>
      <c r="J49" s="335" t="s">
        <v>88</v>
      </c>
      <c r="K49" s="335"/>
      <c r="L49" s="335"/>
      <c r="M49" s="143" t="s">
        <v>88</v>
      </c>
      <c r="N49" s="144"/>
      <c r="O49" s="144"/>
      <c r="P49" s="145"/>
      <c r="Q49" s="146" t="s">
        <v>88</v>
      </c>
      <c r="R49" s="147"/>
      <c r="S49" s="148"/>
      <c r="T49" s="336">
        <f>SUM(T37:V48)</f>
        <v>3600</v>
      </c>
      <c r="U49" s="336"/>
      <c r="V49" s="336"/>
      <c r="W49" s="332">
        <f>SUM(W37:AA48)</f>
        <v>144510.9</v>
      </c>
      <c r="X49" s="333"/>
      <c r="Y49" s="333"/>
      <c r="Z49" s="333"/>
      <c r="AA49" s="334"/>
      <c r="AB49" s="240">
        <f>SUM(AB37:AE48)</f>
        <v>144510.9</v>
      </c>
      <c r="AC49" s="240"/>
      <c r="AD49" s="240"/>
      <c r="AE49" s="241"/>
      <c r="AF49" s="134"/>
      <c r="AG49" s="134"/>
      <c r="AH49" s="134"/>
      <c r="AI49" s="134"/>
      <c r="AJ49" s="134"/>
      <c r="AK49" s="134"/>
      <c r="AL49" s="134"/>
      <c r="AM49" s="36"/>
      <c r="AN49" s="36"/>
      <c r="AO49" s="36"/>
      <c r="AP49" s="36"/>
      <c r="AQ49" s="36"/>
      <c r="AR49" s="36"/>
      <c r="AS49" s="36"/>
      <c r="AV49" s="98"/>
    </row>
    <row r="50" spans="1:48" s="79" customFormat="1" ht="15" customHeight="1" thickTop="1">
      <c r="A50" s="36"/>
      <c r="B50" s="36" t="str">
        <f>既存設備!B50</f>
        <v>指定負荷率使用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42"/>
      <c r="AC50" s="42"/>
      <c r="AD50" s="42"/>
      <c r="AE50" s="42"/>
      <c r="AF50" s="134"/>
      <c r="AG50" s="134"/>
      <c r="AH50" s="134"/>
      <c r="AI50" s="134"/>
      <c r="AJ50" s="134"/>
      <c r="AK50" s="134"/>
      <c r="AL50" s="134"/>
      <c r="AM50" s="36"/>
      <c r="AN50" s="36"/>
      <c r="AO50" s="36"/>
      <c r="AP50" s="36"/>
      <c r="AQ50" s="36"/>
      <c r="AR50" s="36"/>
      <c r="AS50" s="36"/>
      <c r="AV50" s="98"/>
    </row>
    <row r="51" spans="1:48" s="79" customFormat="1" ht="3" customHeight="1">
      <c r="A51" s="36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101"/>
      <c r="AC51" s="101"/>
      <c r="AD51" s="101"/>
      <c r="AE51" s="101"/>
      <c r="AF51" s="134"/>
      <c r="AG51" s="134"/>
      <c r="AH51" s="134"/>
      <c r="AI51" s="134"/>
      <c r="AJ51" s="134"/>
      <c r="AK51" s="134"/>
      <c r="AL51" s="134"/>
      <c r="AM51" s="36"/>
      <c r="AN51" s="36"/>
      <c r="AO51" s="36"/>
      <c r="AP51" s="36"/>
      <c r="AQ51" s="36"/>
      <c r="AR51" s="36"/>
      <c r="AS51" s="36"/>
      <c r="AV51" s="98"/>
    </row>
    <row r="52" spans="1:48" s="79" customFormat="1" ht="12" customHeight="1">
      <c r="A52" s="36" t="s">
        <v>177</v>
      </c>
      <c r="B52" s="42"/>
      <c r="C52" s="42"/>
      <c r="D52" s="42"/>
      <c r="E52" s="80"/>
      <c r="F52" s="80"/>
      <c r="G52" s="42"/>
      <c r="H52" s="42"/>
      <c r="I52" s="42"/>
      <c r="J52" s="80"/>
      <c r="K52" s="42"/>
      <c r="L52" s="42"/>
      <c r="M52" s="42"/>
      <c r="N52" s="42"/>
      <c r="O52" s="42"/>
      <c r="P52" s="42"/>
      <c r="Q52" s="42"/>
      <c r="R52" s="42"/>
      <c r="S52" s="42"/>
      <c r="T52" s="81"/>
      <c r="U52" s="81"/>
      <c r="V52" s="81"/>
      <c r="W52" s="42"/>
      <c r="X52" s="42"/>
      <c r="Y52" s="42"/>
      <c r="Z52" s="42"/>
      <c r="AA52" s="42"/>
      <c r="AB52" s="102"/>
      <c r="AC52" s="102"/>
      <c r="AD52" s="102"/>
      <c r="AE52" s="102"/>
      <c r="AF52" s="134"/>
      <c r="AG52" s="134"/>
      <c r="AH52" s="134"/>
      <c r="AI52" s="134"/>
      <c r="AJ52" s="134"/>
      <c r="AK52" s="134"/>
      <c r="AL52" s="134"/>
      <c r="AM52" s="36"/>
      <c r="AN52" s="36"/>
      <c r="AO52" s="36"/>
      <c r="AP52" s="36"/>
      <c r="AQ52" s="36"/>
      <c r="AR52" s="36"/>
      <c r="AS52" s="36"/>
    </row>
    <row r="53" spans="1:48" s="79" customFormat="1" ht="15" customHeight="1">
      <c r="A53" s="36"/>
      <c r="B53" s="188" t="s">
        <v>91</v>
      </c>
      <c r="C53" s="189"/>
      <c r="D53" s="190"/>
      <c r="E53" s="135" t="s">
        <v>55</v>
      </c>
      <c r="F53" s="137"/>
      <c r="G53" s="135" t="s">
        <v>13</v>
      </c>
      <c r="H53" s="136"/>
      <c r="I53" s="137"/>
      <c r="J53" s="135" t="s">
        <v>93</v>
      </c>
      <c r="K53" s="136"/>
      <c r="L53" s="136"/>
      <c r="M53" s="136"/>
      <c r="N53" s="136"/>
      <c r="O53" s="136"/>
      <c r="P53" s="136"/>
      <c r="Q53" s="136"/>
      <c r="R53" s="136"/>
      <c r="S53" s="137"/>
      <c r="T53" s="340" t="s">
        <v>106</v>
      </c>
      <c r="U53" s="201"/>
      <c r="V53" s="202"/>
      <c r="W53" s="135" t="s">
        <v>133</v>
      </c>
      <c r="X53" s="136"/>
      <c r="Y53" s="136"/>
      <c r="Z53" s="136"/>
      <c r="AA53" s="137"/>
      <c r="AB53" s="102"/>
      <c r="AC53" s="102"/>
      <c r="AD53" s="102"/>
      <c r="AE53" s="102"/>
      <c r="AF53" s="134"/>
      <c r="AG53" s="134"/>
      <c r="AH53" s="134"/>
      <c r="AI53" s="134"/>
      <c r="AJ53" s="134"/>
      <c r="AK53" s="134"/>
      <c r="AL53" s="134"/>
      <c r="AM53" s="36"/>
      <c r="AN53" s="36"/>
      <c r="AO53" s="36"/>
      <c r="AP53" s="36"/>
      <c r="AQ53" s="36"/>
      <c r="AR53" s="36"/>
      <c r="AS53" s="36"/>
    </row>
    <row r="54" spans="1:48" s="79" customFormat="1" ht="15" customHeight="1" thickBot="1">
      <c r="A54" s="36"/>
      <c r="B54" s="191"/>
      <c r="C54" s="192"/>
      <c r="D54" s="193"/>
      <c r="E54" s="197"/>
      <c r="F54" s="198"/>
      <c r="G54" s="197"/>
      <c r="H54" s="199"/>
      <c r="I54" s="198"/>
      <c r="J54" s="197" t="s">
        <v>130</v>
      </c>
      <c r="K54" s="199"/>
      <c r="L54" s="199"/>
      <c r="M54" s="199"/>
      <c r="N54" s="199"/>
      <c r="O54" s="199"/>
      <c r="P54" s="199"/>
      <c r="Q54" s="199"/>
      <c r="R54" s="199"/>
      <c r="S54" s="198"/>
      <c r="T54" s="207" t="s">
        <v>131</v>
      </c>
      <c r="U54" s="208"/>
      <c r="V54" s="209"/>
      <c r="W54" s="344" t="s">
        <v>129</v>
      </c>
      <c r="X54" s="345"/>
      <c r="Y54" s="345"/>
      <c r="Z54" s="345"/>
      <c r="AA54" s="346"/>
      <c r="AB54" s="102"/>
      <c r="AC54" s="102"/>
      <c r="AD54" s="102"/>
      <c r="AE54" s="102"/>
      <c r="AF54" s="206"/>
      <c r="AG54" s="206"/>
      <c r="AH54" s="206"/>
      <c r="AI54" s="206"/>
      <c r="AJ54" s="20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</row>
    <row r="55" spans="1:48" s="79" customFormat="1" ht="15" customHeight="1" thickTop="1">
      <c r="A55" s="36"/>
      <c r="B55" s="191"/>
      <c r="C55" s="192"/>
      <c r="D55" s="193"/>
      <c r="E55" s="173">
        <v>4</v>
      </c>
      <c r="F55" s="214"/>
      <c r="G55" s="215" t="str">
        <f t="shared" ref="G55:G66" si="2">G37</f>
        <v>暖房</v>
      </c>
      <c r="H55" s="216"/>
      <c r="I55" s="216"/>
      <c r="J55" s="315">
        <f>IFERROR(IF(G55="冷房",$AT$30,0),"")</f>
        <v>0</v>
      </c>
      <c r="K55" s="236"/>
      <c r="L55" s="236"/>
      <c r="M55" s="236"/>
      <c r="N55" s="236"/>
      <c r="O55" s="236"/>
      <c r="P55" s="236"/>
      <c r="Q55" s="236"/>
      <c r="R55" s="236"/>
      <c r="S55" s="316"/>
      <c r="T55" s="226">
        <f>T37</f>
        <v>300</v>
      </c>
      <c r="U55" s="227"/>
      <c r="V55" s="227"/>
      <c r="W55" s="337">
        <f>IFERROR(ROUNDDOWN(J55*T55*$I$26,1),"")</f>
        <v>0</v>
      </c>
      <c r="X55" s="338"/>
      <c r="Y55" s="338"/>
      <c r="Z55" s="338"/>
      <c r="AA55" s="339"/>
      <c r="AB55" s="102"/>
      <c r="AC55" s="102"/>
      <c r="AD55" s="102"/>
      <c r="AE55" s="102"/>
      <c r="AF55" s="321"/>
      <c r="AG55" s="321"/>
      <c r="AH55" s="321"/>
      <c r="AI55" s="321"/>
      <c r="AJ55" s="321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</row>
    <row r="56" spans="1:48" s="79" customFormat="1" ht="15" customHeight="1">
      <c r="A56" s="36"/>
      <c r="B56" s="191"/>
      <c r="C56" s="192"/>
      <c r="D56" s="193"/>
      <c r="E56" s="173">
        <v>5</v>
      </c>
      <c r="F56" s="214"/>
      <c r="G56" s="215" t="str">
        <f t="shared" si="2"/>
        <v>冷房</v>
      </c>
      <c r="H56" s="216"/>
      <c r="I56" s="216"/>
      <c r="J56" s="315">
        <f t="shared" ref="J56:J66" si="3">IFERROR(IF(G56="冷房",$AT$30,0),"")</f>
        <v>21.3</v>
      </c>
      <c r="K56" s="236"/>
      <c r="L56" s="236"/>
      <c r="M56" s="236"/>
      <c r="N56" s="236"/>
      <c r="O56" s="236"/>
      <c r="P56" s="236"/>
      <c r="Q56" s="236"/>
      <c r="R56" s="236"/>
      <c r="S56" s="316"/>
      <c r="T56" s="226">
        <f t="shared" ref="T56:T66" si="4">T38</f>
        <v>300</v>
      </c>
      <c r="U56" s="227"/>
      <c r="V56" s="227"/>
      <c r="W56" s="317">
        <f t="shared" ref="W56:W66" si="5">IFERROR(ROUNDDOWN(J56*T56*$I$26,1),"")</f>
        <v>6390</v>
      </c>
      <c r="X56" s="318"/>
      <c r="Y56" s="318"/>
      <c r="Z56" s="318"/>
      <c r="AA56" s="319"/>
      <c r="AB56" s="102"/>
      <c r="AC56" s="102"/>
      <c r="AD56" s="102"/>
      <c r="AE56" s="102"/>
      <c r="AF56" s="321"/>
      <c r="AG56" s="321"/>
      <c r="AH56" s="321"/>
      <c r="AI56" s="321"/>
      <c r="AJ56" s="321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</row>
    <row r="57" spans="1:48" ht="15" customHeight="1">
      <c r="B57" s="191"/>
      <c r="C57" s="192"/>
      <c r="D57" s="193"/>
      <c r="E57" s="173">
        <v>6</v>
      </c>
      <c r="F57" s="214"/>
      <c r="G57" s="215" t="str">
        <f t="shared" si="2"/>
        <v>冷房</v>
      </c>
      <c r="H57" s="216"/>
      <c r="I57" s="216"/>
      <c r="J57" s="315">
        <f t="shared" si="3"/>
        <v>21.3</v>
      </c>
      <c r="K57" s="236"/>
      <c r="L57" s="236"/>
      <c r="M57" s="236"/>
      <c r="N57" s="236"/>
      <c r="O57" s="236"/>
      <c r="P57" s="236"/>
      <c r="Q57" s="236"/>
      <c r="R57" s="236"/>
      <c r="S57" s="316"/>
      <c r="T57" s="226">
        <f t="shared" si="4"/>
        <v>300</v>
      </c>
      <c r="U57" s="227"/>
      <c r="V57" s="227"/>
      <c r="W57" s="317">
        <f t="shared" si="5"/>
        <v>6390</v>
      </c>
      <c r="X57" s="318"/>
      <c r="Y57" s="318"/>
      <c r="Z57" s="318"/>
      <c r="AA57" s="319"/>
      <c r="AB57" s="102"/>
      <c r="AC57" s="102"/>
      <c r="AD57" s="102"/>
      <c r="AE57" s="102"/>
      <c r="AF57" s="321"/>
      <c r="AG57" s="321"/>
      <c r="AH57" s="321"/>
      <c r="AI57" s="321"/>
      <c r="AJ57" s="321"/>
    </row>
    <row r="58" spans="1:48" ht="15" customHeight="1">
      <c r="B58" s="191"/>
      <c r="C58" s="192"/>
      <c r="D58" s="193"/>
      <c r="E58" s="173">
        <v>7</v>
      </c>
      <c r="F58" s="214"/>
      <c r="G58" s="215" t="str">
        <f t="shared" si="2"/>
        <v>冷房</v>
      </c>
      <c r="H58" s="216"/>
      <c r="I58" s="216"/>
      <c r="J58" s="315">
        <f t="shared" si="3"/>
        <v>21.3</v>
      </c>
      <c r="K58" s="236"/>
      <c r="L58" s="236"/>
      <c r="M58" s="236"/>
      <c r="N58" s="236"/>
      <c r="O58" s="236"/>
      <c r="P58" s="236"/>
      <c r="Q58" s="236"/>
      <c r="R58" s="236"/>
      <c r="S58" s="316"/>
      <c r="T58" s="226">
        <f t="shared" si="4"/>
        <v>300</v>
      </c>
      <c r="U58" s="227"/>
      <c r="V58" s="227"/>
      <c r="W58" s="317">
        <f t="shared" si="5"/>
        <v>6390</v>
      </c>
      <c r="X58" s="318"/>
      <c r="Y58" s="318"/>
      <c r="Z58" s="318"/>
      <c r="AA58" s="319"/>
      <c r="AB58" s="102"/>
      <c r="AC58" s="102"/>
      <c r="AD58" s="102"/>
      <c r="AE58" s="102"/>
      <c r="AF58" s="321"/>
      <c r="AG58" s="321"/>
      <c r="AH58" s="321"/>
      <c r="AI58" s="321"/>
      <c r="AJ58" s="321"/>
    </row>
    <row r="59" spans="1:48" s="79" customFormat="1" ht="15" customHeight="1">
      <c r="A59" s="36"/>
      <c r="B59" s="191"/>
      <c r="C59" s="192"/>
      <c r="D59" s="193"/>
      <c r="E59" s="173">
        <v>8</v>
      </c>
      <c r="F59" s="214"/>
      <c r="G59" s="215" t="str">
        <f t="shared" si="2"/>
        <v>冷房</v>
      </c>
      <c r="H59" s="216"/>
      <c r="I59" s="216"/>
      <c r="J59" s="315">
        <f t="shared" si="3"/>
        <v>21.3</v>
      </c>
      <c r="K59" s="236"/>
      <c r="L59" s="236"/>
      <c r="M59" s="236"/>
      <c r="N59" s="236"/>
      <c r="O59" s="236"/>
      <c r="P59" s="236"/>
      <c r="Q59" s="236"/>
      <c r="R59" s="236"/>
      <c r="S59" s="316"/>
      <c r="T59" s="226">
        <f t="shared" si="4"/>
        <v>300</v>
      </c>
      <c r="U59" s="227"/>
      <c r="V59" s="227"/>
      <c r="W59" s="317">
        <f t="shared" si="5"/>
        <v>6390</v>
      </c>
      <c r="X59" s="318"/>
      <c r="Y59" s="318"/>
      <c r="Z59" s="318"/>
      <c r="AA59" s="319"/>
      <c r="AB59" s="102"/>
      <c r="AC59" s="102"/>
      <c r="AD59" s="102"/>
      <c r="AE59" s="102"/>
      <c r="AF59" s="321"/>
      <c r="AG59" s="321"/>
      <c r="AH59" s="321"/>
      <c r="AI59" s="321"/>
      <c r="AJ59" s="321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</row>
    <row r="60" spans="1:48" s="79" customFormat="1" ht="15" customHeight="1">
      <c r="A60" s="36"/>
      <c r="B60" s="191"/>
      <c r="C60" s="192"/>
      <c r="D60" s="193"/>
      <c r="E60" s="173">
        <v>9</v>
      </c>
      <c r="F60" s="214"/>
      <c r="G60" s="215" t="str">
        <f t="shared" si="2"/>
        <v>冷房</v>
      </c>
      <c r="H60" s="216"/>
      <c r="I60" s="216"/>
      <c r="J60" s="315">
        <f t="shared" si="3"/>
        <v>21.3</v>
      </c>
      <c r="K60" s="236"/>
      <c r="L60" s="236"/>
      <c r="M60" s="236"/>
      <c r="N60" s="236"/>
      <c r="O60" s="236"/>
      <c r="P60" s="236"/>
      <c r="Q60" s="236"/>
      <c r="R60" s="236"/>
      <c r="S60" s="316"/>
      <c r="T60" s="226">
        <f t="shared" si="4"/>
        <v>300</v>
      </c>
      <c r="U60" s="227"/>
      <c r="V60" s="227"/>
      <c r="W60" s="317">
        <f t="shared" si="5"/>
        <v>6390</v>
      </c>
      <c r="X60" s="318"/>
      <c r="Y60" s="318"/>
      <c r="Z60" s="318"/>
      <c r="AA60" s="319"/>
      <c r="AB60" s="102"/>
      <c r="AC60" s="102"/>
      <c r="AD60" s="102"/>
      <c r="AE60" s="102"/>
      <c r="AF60" s="321"/>
      <c r="AG60" s="321"/>
      <c r="AH60" s="321"/>
      <c r="AI60" s="321"/>
      <c r="AJ60" s="321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</row>
    <row r="61" spans="1:48" s="79" customFormat="1" ht="15" customHeight="1">
      <c r="A61" s="36"/>
      <c r="B61" s="191"/>
      <c r="C61" s="192"/>
      <c r="D61" s="193"/>
      <c r="E61" s="173">
        <v>10</v>
      </c>
      <c r="F61" s="214"/>
      <c r="G61" s="215" t="str">
        <f t="shared" si="2"/>
        <v>冷房</v>
      </c>
      <c r="H61" s="216"/>
      <c r="I61" s="216"/>
      <c r="J61" s="315">
        <f t="shared" si="3"/>
        <v>21.3</v>
      </c>
      <c r="K61" s="236"/>
      <c r="L61" s="236"/>
      <c r="M61" s="236"/>
      <c r="N61" s="236"/>
      <c r="O61" s="236"/>
      <c r="P61" s="236"/>
      <c r="Q61" s="236"/>
      <c r="R61" s="236"/>
      <c r="S61" s="316"/>
      <c r="T61" s="226">
        <f t="shared" si="4"/>
        <v>300</v>
      </c>
      <c r="U61" s="227"/>
      <c r="V61" s="227"/>
      <c r="W61" s="317">
        <f t="shared" si="5"/>
        <v>6390</v>
      </c>
      <c r="X61" s="318"/>
      <c r="Y61" s="318"/>
      <c r="Z61" s="318"/>
      <c r="AA61" s="319"/>
      <c r="AB61" s="102"/>
      <c r="AC61" s="102"/>
      <c r="AD61" s="102"/>
      <c r="AE61" s="102"/>
      <c r="AF61" s="321"/>
      <c r="AG61" s="321"/>
      <c r="AH61" s="321"/>
      <c r="AI61" s="321"/>
      <c r="AJ61" s="321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</row>
    <row r="62" spans="1:48" s="79" customFormat="1" ht="15" customHeight="1">
      <c r="A62" s="36"/>
      <c r="B62" s="191"/>
      <c r="C62" s="192"/>
      <c r="D62" s="193"/>
      <c r="E62" s="173">
        <v>11</v>
      </c>
      <c r="F62" s="214"/>
      <c r="G62" s="215" t="str">
        <f t="shared" si="2"/>
        <v>暖房</v>
      </c>
      <c r="H62" s="216"/>
      <c r="I62" s="216"/>
      <c r="J62" s="315">
        <f t="shared" si="3"/>
        <v>0</v>
      </c>
      <c r="K62" s="236"/>
      <c r="L62" s="236"/>
      <c r="M62" s="236"/>
      <c r="N62" s="236"/>
      <c r="O62" s="236"/>
      <c r="P62" s="236"/>
      <c r="Q62" s="236"/>
      <c r="R62" s="236"/>
      <c r="S62" s="316"/>
      <c r="T62" s="226">
        <f t="shared" si="4"/>
        <v>300</v>
      </c>
      <c r="U62" s="227"/>
      <c r="V62" s="227"/>
      <c r="W62" s="317">
        <f t="shared" si="5"/>
        <v>0</v>
      </c>
      <c r="X62" s="318"/>
      <c r="Y62" s="318"/>
      <c r="Z62" s="318"/>
      <c r="AA62" s="319"/>
      <c r="AB62" s="102"/>
      <c r="AC62" s="102"/>
      <c r="AD62" s="102"/>
      <c r="AE62" s="102"/>
      <c r="AF62" s="321"/>
      <c r="AG62" s="321"/>
      <c r="AH62" s="321"/>
      <c r="AI62" s="321"/>
      <c r="AJ62" s="321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</row>
    <row r="63" spans="1:48" s="79" customFormat="1" ht="15" customHeight="1">
      <c r="A63" s="36"/>
      <c r="B63" s="191"/>
      <c r="C63" s="192"/>
      <c r="D63" s="193"/>
      <c r="E63" s="173">
        <v>12</v>
      </c>
      <c r="F63" s="214"/>
      <c r="G63" s="215" t="str">
        <f t="shared" si="2"/>
        <v>暖房</v>
      </c>
      <c r="H63" s="216"/>
      <c r="I63" s="216"/>
      <c r="J63" s="315">
        <f t="shared" si="3"/>
        <v>0</v>
      </c>
      <c r="K63" s="236"/>
      <c r="L63" s="236"/>
      <c r="M63" s="236"/>
      <c r="N63" s="236"/>
      <c r="O63" s="236"/>
      <c r="P63" s="236"/>
      <c r="Q63" s="236"/>
      <c r="R63" s="236"/>
      <c r="S63" s="316"/>
      <c r="T63" s="226">
        <f t="shared" si="4"/>
        <v>300</v>
      </c>
      <c r="U63" s="227"/>
      <c r="V63" s="227"/>
      <c r="W63" s="317">
        <f t="shared" si="5"/>
        <v>0</v>
      </c>
      <c r="X63" s="318"/>
      <c r="Y63" s="318"/>
      <c r="Z63" s="318"/>
      <c r="AA63" s="319"/>
      <c r="AB63" s="102"/>
      <c r="AC63" s="102"/>
      <c r="AD63" s="102"/>
      <c r="AE63" s="102"/>
      <c r="AF63" s="321"/>
      <c r="AG63" s="321"/>
      <c r="AH63" s="321"/>
      <c r="AI63" s="321"/>
      <c r="AJ63" s="321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</row>
    <row r="64" spans="1:48" s="79" customFormat="1" ht="15" customHeight="1">
      <c r="A64" s="36"/>
      <c r="B64" s="191"/>
      <c r="C64" s="192"/>
      <c r="D64" s="193"/>
      <c r="E64" s="173">
        <v>1</v>
      </c>
      <c r="F64" s="214"/>
      <c r="G64" s="215" t="str">
        <f t="shared" si="2"/>
        <v>暖房</v>
      </c>
      <c r="H64" s="216"/>
      <c r="I64" s="216"/>
      <c r="J64" s="315">
        <f t="shared" si="3"/>
        <v>0</v>
      </c>
      <c r="K64" s="236"/>
      <c r="L64" s="236"/>
      <c r="M64" s="236"/>
      <c r="N64" s="236"/>
      <c r="O64" s="236"/>
      <c r="P64" s="236"/>
      <c r="Q64" s="236"/>
      <c r="R64" s="236"/>
      <c r="S64" s="316"/>
      <c r="T64" s="226">
        <f t="shared" si="4"/>
        <v>300</v>
      </c>
      <c r="U64" s="227"/>
      <c r="V64" s="227"/>
      <c r="W64" s="317">
        <f t="shared" si="5"/>
        <v>0</v>
      </c>
      <c r="X64" s="318"/>
      <c r="Y64" s="318"/>
      <c r="Z64" s="318"/>
      <c r="AA64" s="319"/>
      <c r="AB64" s="102"/>
      <c r="AC64" s="102"/>
      <c r="AD64" s="102"/>
      <c r="AE64" s="102"/>
      <c r="AF64" s="321"/>
      <c r="AG64" s="321"/>
      <c r="AH64" s="321"/>
      <c r="AI64" s="321"/>
      <c r="AJ64" s="321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</row>
    <row r="65" spans="1:47" s="79" customFormat="1" ht="15" customHeight="1">
      <c r="A65" s="36"/>
      <c r="B65" s="191"/>
      <c r="C65" s="192"/>
      <c r="D65" s="193"/>
      <c r="E65" s="173">
        <v>2</v>
      </c>
      <c r="F65" s="214"/>
      <c r="G65" s="215" t="str">
        <f t="shared" si="2"/>
        <v>暖房</v>
      </c>
      <c r="H65" s="216"/>
      <c r="I65" s="216"/>
      <c r="J65" s="315">
        <f t="shared" si="3"/>
        <v>0</v>
      </c>
      <c r="K65" s="236"/>
      <c r="L65" s="236"/>
      <c r="M65" s="236"/>
      <c r="N65" s="236"/>
      <c r="O65" s="236"/>
      <c r="P65" s="236"/>
      <c r="Q65" s="236"/>
      <c r="R65" s="236"/>
      <c r="S65" s="316"/>
      <c r="T65" s="226">
        <f t="shared" si="4"/>
        <v>300</v>
      </c>
      <c r="U65" s="227"/>
      <c r="V65" s="227"/>
      <c r="W65" s="317">
        <f t="shared" si="5"/>
        <v>0</v>
      </c>
      <c r="X65" s="318"/>
      <c r="Y65" s="318"/>
      <c r="Z65" s="318"/>
      <c r="AA65" s="319"/>
      <c r="AB65" s="103"/>
      <c r="AC65" s="103"/>
      <c r="AD65" s="103"/>
      <c r="AE65" s="103"/>
      <c r="AF65" s="321"/>
      <c r="AG65" s="321"/>
      <c r="AH65" s="321"/>
      <c r="AI65" s="321"/>
      <c r="AJ65" s="321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</row>
    <row r="66" spans="1:47" s="79" customFormat="1" ht="15" customHeight="1" thickBot="1">
      <c r="A66" s="36"/>
      <c r="B66" s="191"/>
      <c r="C66" s="192"/>
      <c r="D66" s="193"/>
      <c r="E66" s="173">
        <v>3</v>
      </c>
      <c r="F66" s="214"/>
      <c r="G66" s="215" t="str">
        <f t="shared" si="2"/>
        <v>暖房</v>
      </c>
      <c r="H66" s="216"/>
      <c r="I66" s="216"/>
      <c r="J66" s="315">
        <f t="shared" si="3"/>
        <v>0</v>
      </c>
      <c r="K66" s="236"/>
      <c r="L66" s="236"/>
      <c r="M66" s="236"/>
      <c r="N66" s="236"/>
      <c r="O66" s="236"/>
      <c r="P66" s="236"/>
      <c r="Q66" s="236"/>
      <c r="R66" s="236"/>
      <c r="S66" s="316"/>
      <c r="T66" s="220">
        <f t="shared" si="4"/>
        <v>300</v>
      </c>
      <c r="U66" s="221"/>
      <c r="V66" s="221"/>
      <c r="W66" s="341">
        <f t="shared" si="5"/>
        <v>0</v>
      </c>
      <c r="X66" s="342"/>
      <c r="Y66" s="342"/>
      <c r="Z66" s="342"/>
      <c r="AA66" s="343"/>
      <c r="AB66" s="103"/>
      <c r="AC66" s="103"/>
      <c r="AD66" s="103"/>
      <c r="AE66" s="103"/>
      <c r="AF66" s="321"/>
      <c r="AG66" s="321"/>
      <c r="AH66" s="321"/>
      <c r="AI66" s="321"/>
      <c r="AJ66" s="321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</row>
    <row r="67" spans="1:47" s="79" customFormat="1" ht="15" customHeight="1" thickTop="1">
      <c r="A67" s="36"/>
      <c r="B67" s="194"/>
      <c r="C67" s="195"/>
      <c r="D67" s="196"/>
      <c r="E67" s="138" t="s">
        <v>57</v>
      </c>
      <c r="F67" s="178"/>
      <c r="G67" s="179" t="s">
        <v>88</v>
      </c>
      <c r="H67" s="180"/>
      <c r="I67" s="347"/>
      <c r="J67" s="322" t="s">
        <v>88</v>
      </c>
      <c r="K67" s="323"/>
      <c r="L67" s="323"/>
      <c r="M67" s="323"/>
      <c r="N67" s="323"/>
      <c r="O67" s="323"/>
      <c r="P67" s="323"/>
      <c r="Q67" s="323"/>
      <c r="R67" s="323"/>
      <c r="S67" s="324"/>
      <c r="T67" s="146">
        <f>SUM(T55:V66)</f>
        <v>3600</v>
      </c>
      <c r="U67" s="147"/>
      <c r="V67" s="147"/>
      <c r="W67" s="329">
        <f>SUM(W55:AA66)</f>
        <v>38340</v>
      </c>
      <c r="X67" s="330"/>
      <c r="Y67" s="330"/>
      <c r="Z67" s="330"/>
      <c r="AA67" s="331"/>
      <c r="AB67" s="36"/>
      <c r="AC67" s="36"/>
      <c r="AD67" s="36"/>
      <c r="AE67" s="36"/>
      <c r="AF67" s="187"/>
      <c r="AG67" s="187"/>
      <c r="AH67" s="187"/>
      <c r="AI67" s="187"/>
      <c r="AJ67" s="187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</row>
    <row r="68" spans="1:47" s="79" customFormat="1" ht="15" customHeight="1">
      <c r="A68" s="36"/>
      <c r="C68" s="36"/>
      <c r="D68" s="36"/>
      <c r="E68" s="36"/>
      <c r="F68" s="36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</row>
    <row r="69" spans="1:47" s="36" customFormat="1" ht="14">
      <c r="B69" s="299"/>
      <c r="C69" s="299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F69" s="84"/>
      <c r="AG69" s="84"/>
      <c r="AH69" s="84"/>
      <c r="AI69" s="84"/>
      <c r="AJ69" s="84"/>
      <c r="AQ69" s="107"/>
    </row>
    <row r="70" spans="1:47" s="79" customFormat="1" ht="1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s="79" customFormat="1" ht="1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  <row r="72" spans="1:47" s="79" customFormat="1" ht="1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</row>
    <row r="73" spans="1:47" s="79" customFormat="1" ht="1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</row>
    <row r="74" spans="1:47" s="79" customFormat="1" ht="1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</row>
    <row r="75" spans="1:47" s="79" customFormat="1" ht="1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</row>
    <row r="76" spans="1:47" s="79" customFormat="1" ht="1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</row>
    <row r="77" spans="1:47" s="79" customFormat="1" ht="13.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</row>
    <row r="78" spans="1:47" s="79" customFormat="1" ht="1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</row>
    <row r="81" spans="1:47" s="79" customFormat="1" ht="1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</row>
    <row r="82" spans="1:47" s="79" customFormat="1" ht="1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</row>
    <row r="83" spans="1:47" s="79" customFormat="1" ht="1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</row>
    <row r="84" spans="1:47" s="79" customFormat="1" ht="1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</row>
    <row r="85" spans="1:47" s="79" customFormat="1" ht="1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</row>
    <row r="86" spans="1:47" s="79" customFormat="1" ht="1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</row>
    <row r="87" spans="1:47" s="79" customFormat="1" ht="1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</row>
    <row r="88" spans="1:47" s="79" customFormat="1" ht="1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</row>
    <row r="89" spans="1:47" s="79" customFormat="1" ht="1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</row>
    <row r="90" spans="1:47" s="79" customFormat="1" ht="1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</row>
    <row r="91" spans="1:47" s="79" customFormat="1" ht="1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</row>
    <row r="92" spans="1:47" s="79" customFormat="1" ht="1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</row>
    <row r="93" spans="1:47" s="79" customFormat="1" ht="1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</row>
    <row r="108" s="36" customFormat="1" ht="13.5" customHeight="1"/>
    <row r="123" s="36" customFormat="1" ht="13.5" customHeight="1"/>
    <row r="143" s="36" customFormat="1" ht="13.5" customHeight="1"/>
    <row r="145" s="36" customFormat="1" ht="13.5" customHeight="1"/>
  </sheetData>
  <sheetProtection algorithmName="SHA-512" hashValue="eha71Orm8f9iJ2naxpbDylodjdqB+99eew5IXX204r9bxGqCekDVfUQ6sRGohNN51GK5hGcX/KugVHSFgqrRCQ==" saltValue="McrppUYH6nFfhJHLev7Gyw==" spinCount="100000" sheet="1" objects="1" scenarios="1" selectLockedCells="1"/>
  <mergeCells count="292">
    <mergeCell ref="AB47:AE47"/>
    <mergeCell ref="AB48:AE48"/>
    <mergeCell ref="AB49:AE49"/>
    <mergeCell ref="E18:H18"/>
    <mergeCell ref="I18:O18"/>
    <mergeCell ref="P18:R18"/>
    <mergeCell ref="M37:P37"/>
    <mergeCell ref="Q37:S37"/>
    <mergeCell ref="B20:H20"/>
    <mergeCell ref="C21:H21"/>
    <mergeCell ref="B35:D49"/>
    <mergeCell ref="P31:R31"/>
    <mergeCell ref="E19:H19"/>
    <mergeCell ref="I31:O31"/>
    <mergeCell ref="E30:H30"/>
    <mergeCell ref="I30:R30"/>
    <mergeCell ref="I29:R29"/>
    <mergeCell ref="G35:I36"/>
    <mergeCell ref="Q39:S39"/>
    <mergeCell ref="J37:L37"/>
    <mergeCell ref="E37:F37"/>
    <mergeCell ref="E45:F45"/>
    <mergeCell ref="E46:F46"/>
    <mergeCell ref="E47:F47"/>
    <mergeCell ref="E48:F48"/>
    <mergeCell ref="J35:L35"/>
    <mergeCell ref="E42:F42"/>
    <mergeCell ref="B12:H12"/>
    <mergeCell ref="B14:AM14"/>
    <mergeCell ref="T18:AM18"/>
    <mergeCell ref="B18:D19"/>
    <mergeCell ref="E35:F36"/>
    <mergeCell ref="J36:L36"/>
    <mergeCell ref="T32:AM32"/>
    <mergeCell ref="G44:I44"/>
    <mergeCell ref="G37:I37"/>
    <mergeCell ref="E44:F44"/>
    <mergeCell ref="P32:R32"/>
    <mergeCell ref="E43:F43"/>
    <mergeCell ref="M42:P42"/>
    <mergeCell ref="E38:F38"/>
    <mergeCell ref="E39:F39"/>
    <mergeCell ref="E40:F40"/>
    <mergeCell ref="E32:H32"/>
    <mergeCell ref="T12:AM12"/>
    <mergeCell ref="E31:H31"/>
    <mergeCell ref="B29:H29"/>
    <mergeCell ref="B30:D32"/>
    <mergeCell ref="A2:AI2"/>
    <mergeCell ref="I10:R10"/>
    <mergeCell ref="I11:R11"/>
    <mergeCell ref="B4:E4"/>
    <mergeCell ref="F4:K4"/>
    <mergeCell ref="I6:R6"/>
    <mergeCell ref="B6:H6"/>
    <mergeCell ref="I7:R7"/>
    <mergeCell ref="B10:H10"/>
    <mergeCell ref="B11:H11"/>
    <mergeCell ref="B7:H7"/>
    <mergeCell ref="T6:AM6"/>
    <mergeCell ref="T7:AM7"/>
    <mergeCell ref="T10:AM10"/>
    <mergeCell ref="T11:AM11"/>
    <mergeCell ref="I32:O32"/>
    <mergeCell ref="B26:H26"/>
    <mergeCell ref="B24:H24"/>
    <mergeCell ref="B25:H25"/>
    <mergeCell ref="I24:R24"/>
    <mergeCell ref="W35:AA35"/>
    <mergeCell ref="Q35:S36"/>
    <mergeCell ref="T35:V35"/>
    <mergeCell ref="T36:V36"/>
    <mergeCell ref="M35:P35"/>
    <mergeCell ref="M36:P36"/>
    <mergeCell ref="T29:AM29"/>
    <mergeCell ref="T30:AM30"/>
    <mergeCell ref="T31:AM31"/>
    <mergeCell ref="J38:L38"/>
    <mergeCell ref="AF37:AJ37"/>
    <mergeCell ref="AF38:AJ38"/>
    <mergeCell ref="AF39:AJ39"/>
    <mergeCell ref="AF40:AJ40"/>
    <mergeCell ref="AB35:AE35"/>
    <mergeCell ref="AB36:AE36"/>
    <mergeCell ref="AB37:AE37"/>
    <mergeCell ref="AB38:AE38"/>
    <mergeCell ref="AB39:AE39"/>
    <mergeCell ref="AB40:AE40"/>
    <mergeCell ref="AK37:AM37"/>
    <mergeCell ref="W36:AA36"/>
    <mergeCell ref="W37:AA37"/>
    <mergeCell ref="T37:V37"/>
    <mergeCell ref="M39:P39"/>
    <mergeCell ref="T40:V40"/>
    <mergeCell ref="M40:P40"/>
    <mergeCell ref="W40:AA40"/>
    <mergeCell ref="AF42:AJ42"/>
    <mergeCell ref="AF44:AJ44"/>
    <mergeCell ref="AF45:AJ45"/>
    <mergeCell ref="M46:P46"/>
    <mergeCell ref="AF46:AJ46"/>
    <mergeCell ref="T43:V43"/>
    <mergeCell ref="AF43:AJ43"/>
    <mergeCell ref="Q43:S43"/>
    <mergeCell ref="T41:V41"/>
    <mergeCell ref="Q42:S42"/>
    <mergeCell ref="T42:V42"/>
    <mergeCell ref="M41:P41"/>
    <mergeCell ref="Q41:S41"/>
    <mergeCell ref="W43:AA43"/>
    <mergeCell ref="W42:AA42"/>
    <mergeCell ref="AB42:AE42"/>
    <mergeCell ref="AB43:AE43"/>
    <mergeCell ref="AF41:AJ41"/>
    <mergeCell ref="AB41:AE41"/>
    <mergeCell ref="W41:AA41"/>
    <mergeCell ref="AB44:AE44"/>
    <mergeCell ref="AB45:AE45"/>
    <mergeCell ref="AB46:AE46"/>
    <mergeCell ref="G39:I39"/>
    <mergeCell ref="J43:L43"/>
    <mergeCell ref="G43:I43"/>
    <mergeCell ref="M43:P43"/>
    <mergeCell ref="AF47:AJ47"/>
    <mergeCell ref="T48:V48"/>
    <mergeCell ref="Q45:S45"/>
    <mergeCell ref="T45:V45"/>
    <mergeCell ref="G47:I47"/>
    <mergeCell ref="G48:I48"/>
    <mergeCell ref="M48:P48"/>
    <mergeCell ref="T44:V44"/>
    <mergeCell ref="J47:L47"/>
    <mergeCell ref="Q47:S47"/>
    <mergeCell ref="T47:V47"/>
    <mergeCell ref="Q46:S46"/>
    <mergeCell ref="T46:V46"/>
    <mergeCell ref="J44:L44"/>
    <mergeCell ref="Q44:S44"/>
    <mergeCell ref="M47:P47"/>
    <mergeCell ref="Q48:S48"/>
    <mergeCell ref="J45:L45"/>
    <mergeCell ref="M44:P44"/>
    <mergeCell ref="M45:P45"/>
    <mergeCell ref="G56:I56"/>
    <mergeCell ref="E53:F54"/>
    <mergeCell ref="G53:I54"/>
    <mergeCell ref="G49:I49"/>
    <mergeCell ref="W45:AA45"/>
    <mergeCell ref="W46:AA46"/>
    <mergeCell ref="W47:AA47"/>
    <mergeCell ref="W48:AA48"/>
    <mergeCell ref="W38:AA38"/>
    <mergeCell ref="W39:AA39"/>
    <mergeCell ref="T39:V39"/>
    <mergeCell ref="T38:V38"/>
    <mergeCell ref="G46:I46"/>
    <mergeCell ref="J42:L42"/>
    <mergeCell ref="G41:I41"/>
    <mergeCell ref="G42:I42"/>
    <mergeCell ref="Q40:S40"/>
    <mergeCell ref="J48:L48"/>
    <mergeCell ref="G45:I45"/>
    <mergeCell ref="G40:I40"/>
    <mergeCell ref="J39:L39"/>
    <mergeCell ref="J41:L41"/>
    <mergeCell ref="J40:L40"/>
    <mergeCell ref="G38:I38"/>
    <mergeCell ref="G67:I67"/>
    <mergeCell ref="E66:F66"/>
    <mergeCell ref="G57:I57"/>
    <mergeCell ref="G58:I58"/>
    <mergeCell ref="G59:I59"/>
    <mergeCell ref="G60:I60"/>
    <mergeCell ref="G61:I61"/>
    <mergeCell ref="G62:I62"/>
    <mergeCell ref="G63:I63"/>
    <mergeCell ref="E65:F65"/>
    <mergeCell ref="G64:I64"/>
    <mergeCell ref="G65:I65"/>
    <mergeCell ref="G66:I66"/>
    <mergeCell ref="E58:F58"/>
    <mergeCell ref="E59:F59"/>
    <mergeCell ref="E61:F61"/>
    <mergeCell ref="E62:F62"/>
    <mergeCell ref="E63:F63"/>
    <mergeCell ref="E64:F64"/>
    <mergeCell ref="E57:F57"/>
    <mergeCell ref="B69:C69"/>
    <mergeCell ref="T53:V53"/>
    <mergeCell ref="T54:V54"/>
    <mergeCell ref="AF54:AJ54"/>
    <mergeCell ref="AF67:AJ67"/>
    <mergeCell ref="AF61:AJ61"/>
    <mergeCell ref="AF62:AJ62"/>
    <mergeCell ref="AF63:AJ63"/>
    <mergeCell ref="AF64:AJ64"/>
    <mergeCell ref="AF65:AJ65"/>
    <mergeCell ref="AF66:AJ66"/>
    <mergeCell ref="B53:D67"/>
    <mergeCell ref="T59:V59"/>
    <mergeCell ref="T58:V58"/>
    <mergeCell ref="J63:S63"/>
    <mergeCell ref="T67:V67"/>
    <mergeCell ref="W57:AA57"/>
    <mergeCell ref="W58:AA58"/>
    <mergeCell ref="W59:AA59"/>
    <mergeCell ref="W66:AA66"/>
    <mergeCell ref="T65:V65"/>
    <mergeCell ref="J64:S64"/>
    <mergeCell ref="W53:AA53"/>
    <mergeCell ref="W54:AA54"/>
    <mergeCell ref="W67:AA67"/>
    <mergeCell ref="M49:P49"/>
    <mergeCell ref="T64:V64"/>
    <mergeCell ref="T57:V57"/>
    <mergeCell ref="T56:V56"/>
    <mergeCell ref="T55:V55"/>
    <mergeCell ref="T63:V63"/>
    <mergeCell ref="T62:V62"/>
    <mergeCell ref="T61:V61"/>
    <mergeCell ref="T60:V60"/>
    <mergeCell ref="W49:AA49"/>
    <mergeCell ref="J53:S53"/>
    <mergeCell ref="J54:S54"/>
    <mergeCell ref="J49:L49"/>
    <mergeCell ref="Q49:S49"/>
    <mergeCell ref="T49:V49"/>
    <mergeCell ref="W63:AA63"/>
    <mergeCell ref="W64:AA64"/>
    <mergeCell ref="J61:S61"/>
    <mergeCell ref="J62:S62"/>
    <mergeCell ref="W65:AA65"/>
    <mergeCell ref="W61:AA61"/>
    <mergeCell ref="W60:AA60"/>
    <mergeCell ref="W55:AA55"/>
    <mergeCell ref="J67:S67"/>
    <mergeCell ref="W62:AA62"/>
    <mergeCell ref="T66:V66"/>
    <mergeCell ref="A1:AI1"/>
    <mergeCell ref="T21:AK21"/>
    <mergeCell ref="P26:R26"/>
    <mergeCell ref="I26:O26"/>
    <mergeCell ref="T19:AM19"/>
    <mergeCell ref="T20:AM20"/>
    <mergeCell ref="T24:AM24"/>
    <mergeCell ref="T25:AM25"/>
    <mergeCell ref="T26:AM26"/>
    <mergeCell ref="I12:R12"/>
    <mergeCell ref="I25:R25"/>
    <mergeCell ref="I21:O21"/>
    <mergeCell ref="P21:R21"/>
    <mergeCell ref="I19:O19"/>
    <mergeCell ref="P19:R19"/>
    <mergeCell ref="I20:R20"/>
    <mergeCell ref="AF35:AJ35"/>
    <mergeCell ref="AF36:AJ36"/>
    <mergeCell ref="W44:AA44"/>
    <mergeCell ref="J65:S65"/>
    <mergeCell ref="E67:F67"/>
    <mergeCell ref="AF48:AL53"/>
    <mergeCell ref="J66:S66"/>
    <mergeCell ref="E60:F60"/>
    <mergeCell ref="W56:AA56"/>
    <mergeCell ref="G55:I55"/>
    <mergeCell ref="E41:F41"/>
    <mergeCell ref="Q38:S38"/>
    <mergeCell ref="M38:P38"/>
    <mergeCell ref="J46:L46"/>
    <mergeCell ref="AF57:AJ57"/>
    <mergeCell ref="AF59:AJ59"/>
    <mergeCell ref="AF60:AJ60"/>
    <mergeCell ref="E49:F49"/>
    <mergeCell ref="J59:S59"/>
    <mergeCell ref="J60:S60"/>
    <mergeCell ref="J56:S56"/>
    <mergeCell ref="J57:S57"/>
    <mergeCell ref="J58:S58"/>
    <mergeCell ref="J55:S55"/>
    <mergeCell ref="AF58:AJ58"/>
    <mergeCell ref="AF55:AJ55"/>
    <mergeCell ref="AF56:AJ56"/>
    <mergeCell ref="E55:F55"/>
    <mergeCell ref="E56:F56"/>
    <mergeCell ref="T16:AM16"/>
    <mergeCell ref="T17:AM17"/>
    <mergeCell ref="B16:D17"/>
    <mergeCell ref="E16:H16"/>
    <mergeCell ref="I16:O16"/>
    <mergeCell ref="P16:R16"/>
    <mergeCell ref="E17:H17"/>
    <mergeCell ref="I17:O17"/>
    <mergeCell ref="P17:R17"/>
  </mergeCells>
  <phoneticPr fontId="1"/>
  <conditionalFormatting sqref="B53:AA67">
    <cfRule type="expression" dxfId="9" priority="7">
      <formula>$I$29="非該当"</formula>
    </cfRule>
  </conditionalFormatting>
  <conditionalFormatting sqref="I21:O21">
    <cfRule type="expression" dxfId="8" priority="12">
      <formula>$I$21="直接入力"</formula>
    </cfRule>
  </conditionalFormatting>
  <conditionalFormatting sqref="I30:R32">
    <cfRule type="expression" dxfId="7" priority="8">
      <formula>$I$29="非該当"</formula>
    </cfRule>
  </conditionalFormatting>
  <conditionalFormatting sqref="M37:P48">
    <cfRule type="expression" dxfId="6" priority="9">
      <formula>$I$24="その他"</formula>
    </cfRule>
  </conditionalFormatting>
  <conditionalFormatting sqref="T37:T48">
    <cfRule type="expression" dxfId="5" priority="18">
      <formula>#REF!="独自計算"</formula>
    </cfRule>
  </conditionalFormatting>
  <conditionalFormatting sqref="W37:AA37">
    <cfRule type="expression" dxfId="4" priority="3">
      <formula>$I$20="プロパン（い号）"</formula>
    </cfRule>
  </conditionalFormatting>
  <conditionalFormatting sqref="W38:AA48">
    <cfRule type="expression" dxfId="3" priority="2">
      <formula>$I$20="プロパン（い号）"</formula>
    </cfRule>
  </conditionalFormatting>
  <conditionalFormatting sqref="W49:AA49">
    <cfRule type="expression" dxfId="2" priority="1">
      <formula>$I$20="プロパン（い号）"</formula>
    </cfRule>
  </conditionalFormatting>
  <conditionalFormatting sqref="AB35:AE49">
    <cfRule type="expression" dxfId="1" priority="4">
      <formula>$I$20&lt;&gt;"プロパン（い号）"</formula>
    </cfRule>
  </conditionalFormatting>
  <conditionalFormatting sqref="AQ20:AQ21 AU20:AZ21">
    <cfRule type="expression" dxfId="0" priority="23">
      <formula>$I$32="その他"</formula>
    </cfRule>
  </conditionalFormatting>
  <dataValidations count="5">
    <dataValidation type="list" allowBlank="1" showInputMessage="1" showErrorMessage="1" sqref="G37:G48 H38:I48 G55:G66 H56:I66 P38:P48" xr:uid="{00000000-0002-0000-0100-000000000000}">
      <formula1>"冷房,暖房"</formula1>
    </dataValidation>
    <dataValidation type="list" allowBlank="1" showInputMessage="1" showErrorMessage="1" sqref="I30:R30" xr:uid="{00000000-0002-0000-0100-000001000000}">
      <formula1>"有り,無し（一定速）"</formula1>
    </dataValidation>
    <dataValidation type="list" allowBlank="1" showInputMessage="1" showErrorMessage="1" sqref="I29" xr:uid="{00000000-0002-0000-0100-000002000000}">
      <formula1>"該当,非該当"</formula1>
    </dataValidation>
    <dataValidation type="list" allowBlank="1" showInputMessage="1" showErrorMessage="1" sqref="P16:R17" xr:uid="{6412F366-BFA2-441D-9666-1A33D28E3C55}">
      <formula1>"kW,kcal/h"</formula1>
    </dataValidation>
    <dataValidation type="list" allowBlank="1" showInputMessage="1" showErrorMessage="1" sqref="P18:R19" xr:uid="{00738294-C5A9-4DCB-83DB-F022EA86872D}">
      <formula1>"kW,㎥/ｈ"</formula1>
    </dataValidation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77" fitToWidth="0" orientation="portrait" cellComments="asDisplayed" r:id="rId1"/>
  <ignoredErrors>
    <ignoredError sqref="I29 T37:V48 H37:I37 N37:P3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3000000}">
          <x14:formula1>
            <xm:f>'&lt;吸収式&gt;マスタ'!$F$28:$F$31</xm:f>
          </x14:formula1>
          <xm:sqref>I20:R20</xm:sqref>
        </x14:dataValidation>
        <x14:dataValidation type="list" allowBlank="1" showInputMessage="1" showErrorMessage="1" xr:uid="{00000000-0002-0000-0100-000004000000}">
          <x14:formula1>
            <xm:f>'&lt;吸収式&gt;マスタ'!$D$6</xm:f>
          </x14:formula1>
          <xm:sqref>AU6:BC6 AQ6</xm:sqref>
        </x14:dataValidation>
        <x14:dataValidation type="list" allowBlank="1" showInputMessage="1" showErrorMessage="1" xr:uid="{00000000-0002-0000-0100-000005000000}">
          <x14:formula1>
            <xm:f>'&lt;吸収式&gt;マスタ'!$U$73:$U$74</xm:f>
          </x14:formula1>
          <xm:sqref>I27</xm:sqref>
        </x14:dataValidation>
        <x14:dataValidation type="list" allowBlank="1" showInputMessage="1" showErrorMessage="1" xr:uid="{00000000-0002-0000-0100-000006000000}">
          <x14:formula1>
            <xm:f>'&lt;吸収式&gt;マスタ'!$U$82:$U$83</xm:f>
          </x14:formula1>
          <xm:sqref>I25:R25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151"/>
  <sheetViews>
    <sheetView zoomScaleNormal="100" zoomScaleSheetLayoutView="85" workbookViewId="0"/>
  </sheetViews>
  <sheetFormatPr defaultRowHeight="13"/>
  <cols>
    <col min="1" max="1" width="4.90625" customWidth="1"/>
    <col min="3" max="3" width="0.90625" customWidth="1"/>
    <col min="4" max="4" width="23.6328125" customWidth="1"/>
    <col min="5" max="5" width="0.90625" customWidth="1"/>
    <col min="6" max="6" width="17.453125" bestFit="1" customWidth="1"/>
    <col min="7" max="7" width="11" bestFit="1" customWidth="1"/>
    <col min="8" max="8" width="7.453125" bestFit="1" customWidth="1"/>
    <col min="9" max="9" width="14.36328125" bestFit="1" customWidth="1"/>
    <col min="10" max="11" width="5.08984375" bestFit="1" customWidth="1"/>
    <col min="12" max="12" width="5.453125" bestFit="1" customWidth="1"/>
    <col min="13" max="13" width="13" bestFit="1" customWidth="1"/>
    <col min="14" max="14" width="1.08984375" customWidth="1"/>
    <col min="15" max="15" width="17.08984375" customWidth="1"/>
    <col min="16" max="17" width="9" customWidth="1"/>
    <col min="18" max="18" width="27.90625" bestFit="1" customWidth="1"/>
    <col min="19" max="19" width="9" customWidth="1"/>
    <col min="20" max="20" width="0.90625" customWidth="1"/>
    <col min="21" max="22" width="9" customWidth="1"/>
    <col min="23" max="23" width="0.90625" customWidth="1"/>
    <col min="24" max="24" width="4.90625" customWidth="1"/>
    <col min="25" max="25" width="11" bestFit="1" customWidth="1"/>
    <col min="26" max="26" width="9.08984375" bestFit="1" customWidth="1"/>
    <col min="27" max="29" width="11.90625" customWidth="1"/>
    <col min="30" max="30" width="5.36328125" customWidth="1"/>
    <col min="31" max="31" width="10.90625" customWidth="1"/>
    <col min="33" max="33" width="10" bestFit="1" customWidth="1"/>
    <col min="34" max="34" width="18.36328125" bestFit="1" customWidth="1"/>
    <col min="35" max="35" width="25.6328125" bestFit="1" customWidth="1"/>
    <col min="36" max="36" width="9" style="6"/>
    <col min="37" max="37" width="15.08984375" bestFit="1" customWidth="1"/>
    <col min="38" max="38" width="14.36328125" bestFit="1" customWidth="1"/>
    <col min="39" max="39" width="9.90625" customWidth="1"/>
    <col min="41" max="41" width="11" bestFit="1" customWidth="1"/>
    <col min="42" max="42" width="11.90625" customWidth="1"/>
    <col min="43" max="43" width="1.453125" customWidth="1"/>
  </cols>
  <sheetData>
    <row r="1" spans="2:42" ht="13.5" thickBot="1"/>
    <row r="2" spans="2:42" ht="14.5" thickBot="1">
      <c r="B2" s="2" t="s">
        <v>47</v>
      </c>
      <c r="C2" s="23"/>
      <c r="D2" s="2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G2" s="4"/>
    </row>
    <row r="5" spans="2:42">
      <c r="B5" t="s">
        <v>2</v>
      </c>
      <c r="D5" t="s">
        <v>100</v>
      </c>
      <c r="F5" t="s">
        <v>11</v>
      </c>
      <c r="O5" t="s">
        <v>146</v>
      </c>
      <c r="U5" t="s">
        <v>65</v>
      </c>
      <c r="X5" t="s">
        <v>97</v>
      </c>
      <c r="AE5" t="s">
        <v>98</v>
      </c>
    </row>
    <row r="6" spans="2:42" ht="13.5" customHeight="1">
      <c r="B6" s="1" t="s">
        <v>3</v>
      </c>
      <c r="D6" s="1" t="s">
        <v>160</v>
      </c>
      <c r="F6" s="7" t="s">
        <v>150</v>
      </c>
      <c r="G6" s="7" t="s">
        <v>68</v>
      </c>
      <c r="H6" s="7" t="s">
        <v>74</v>
      </c>
      <c r="I6" s="7" t="s">
        <v>149</v>
      </c>
      <c r="J6" s="7" t="s">
        <v>74</v>
      </c>
      <c r="K6" s="7" t="s">
        <v>94</v>
      </c>
      <c r="L6" s="7" t="s">
        <v>96</v>
      </c>
      <c r="M6" s="7" t="s">
        <v>152</v>
      </c>
      <c r="O6" s="7" t="s">
        <v>153</v>
      </c>
      <c r="P6" s="7" t="s">
        <v>66</v>
      </c>
      <c r="Q6" s="7" t="s">
        <v>59</v>
      </c>
      <c r="R6" s="18" t="s">
        <v>67</v>
      </c>
      <c r="S6" s="7" t="s">
        <v>60</v>
      </c>
      <c r="U6" s="7" t="s">
        <v>64</v>
      </c>
      <c r="V6" s="7" t="s">
        <v>59</v>
      </c>
      <c r="X6" s="7"/>
      <c r="Y6" s="7"/>
      <c r="Z6" s="5"/>
      <c r="AA6" s="8" t="s">
        <v>8</v>
      </c>
      <c r="AB6" s="7" t="s">
        <v>9</v>
      </c>
      <c r="AC6" s="31"/>
      <c r="AE6" s="7"/>
      <c r="AF6" s="7"/>
      <c r="AG6" s="7"/>
      <c r="AH6" s="8"/>
      <c r="AI6" s="5"/>
      <c r="AJ6" s="371" t="s">
        <v>40</v>
      </c>
      <c r="AK6" s="376" t="s">
        <v>44</v>
      </c>
      <c r="AL6" s="377" t="s">
        <v>48</v>
      </c>
      <c r="AM6" s="373" t="s">
        <v>41</v>
      </c>
      <c r="AN6" s="374"/>
      <c r="AO6" s="375"/>
      <c r="AP6" s="379" t="s">
        <v>81</v>
      </c>
    </row>
    <row r="7" spans="2:42">
      <c r="B7" s="1" t="s">
        <v>4</v>
      </c>
      <c r="D7" s="1" t="s">
        <v>140</v>
      </c>
      <c r="F7" s="1" t="s">
        <v>54</v>
      </c>
      <c r="G7" s="19">
        <v>10750</v>
      </c>
      <c r="H7" s="1" t="s">
        <v>121</v>
      </c>
      <c r="I7" s="1" t="s">
        <v>76</v>
      </c>
      <c r="J7" s="1" t="s">
        <v>83</v>
      </c>
      <c r="K7" s="1" t="s">
        <v>112</v>
      </c>
      <c r="L7" s="1"/>
      <c r="M7" s="1"/>
      <c r="O7" s="1" t="s">
        <v>143</v>
      </c>
      <c r="P7" s="1" t="s">
        <v>0</v>
      </c>
      <c r="Q7" s="15">
        <v>1990</v>
      </c>
      <c r="R7" s="15" t="str">
        <f>O7&amp;P7&amp;Q7</f>
        <v>吸収冷温水機(ガス)冷房1990</v>
      </c>
      <c r="S7" s="10">
        <v>0.96</v>
      </c>
      <c r="T7" s="16"/>
      <c r="U7" s="24" t="s">
        <v>154</v>
      </c>
      <c r="V7" s="17">
        <v>1990</v>
      </c>
      <c r="X7" s="7" t="s">
        <v>14</v>
      </c>
      <c r="Y7" s="7" t="s">
        <v>7</v>
      </c>
      <c r="Z7" s="1" t="s">
        <v>15</v>
      </c>
      <c r="AA7" s="7" t="s">
        <v>10</v>
      </c>
      <c r="AB7" s="9" t="s">
        <v>10</v>
      </c>
      <c r="AC7" s="32"/>
      <c r="AE7" s="7" t="s">
        <v>12</v>
      </c>
      <c r="AF7" s="7" t="s">
        <v>7</v>
      </c>
      <c r="AG7" s="7" t="s">
        <v>45</v>
      </c>
      <c r="AH7" s="7" t="s">
        <v>119</v>
      </c>
      <c r="AI7" s="5" t="s">
        <v>15</v>
      </c>
      <c r="AJ7" s="372"/>
      <c r="AK7" s="372"/>
      <c r="AL7" s="378"/>
      <c r="AM7" s="7" t="s">
        <v>42</v>
      </c>
      <c r="AN7" s="7" t="s">
        <v>43</v>
      </c>
      <c r="AO7" s="11" t="s">
        <v>81</v>
      </c>
      <c r="AP7" s="379"/>
    </row>
    <row r="8" spans="2:42">
      <c r="B8" t="s">
        <v>205</v>
      </c>
      <c r="D8" s="1" t="s">
        <v>103</v>
      </c>
      <c r="F8" s="1" t="s">
        <v>69</v>
      </c>
      <c r="G8" s="19">
        <v>23889</v>
      </c>
      <c r="H8" s="1" t="s">
        <v>121</v>
      </c>
      <c r="I8" s="1" t="s">
        <v>151</v>
      </c>
      <c r="J8" s="1" t="s">
        <v>83</v>
      </c>
      <c r="K8" s="1" t="s">
        <v>112</v>
      </c>
      <c r="L8" s="1"/>
      <c r="M8" s="1"/>
      <c r="O8" s="1" t="s">
        <v>143</v>
      </c>
      <c r="P8" s="1" t="s">
        <v>0</v>
      </c>
      <c r="Q8" s="15">
        <v>2000</v>
      </c>
      <c r="R8" s="15" t="str">
        <f t="shared" ref="R8" si="0">O8&amp;P8&amp;Q8</f>
        <v>吸収冷温水機(ガス)冷房2000</v>
      </c>
      <c r="S8" s="10">
        <v>1.0069999999999999</v>
      </c>
      <c r="T8" s="16"/>
      <c r="U8" s="15">
        <v>1951</v>
      </c>
      <c r="V8" s="17">
        <v>1990</v>
      </c>
      <c r="X8" s="1">
        <v>1</v>
      </c>
      <c r="Y8" s="1" t="s">
        <v>5</v>
      </c>
      <c r="Z8" s="1" t="s">
        <v>16</v>
      </c>
      <c r="AA8" s="21">
        <v>0</v>
      </c>
      <c r="AB8" s="21">
        <v>0.56200000000000006</v>
      </c>
      <c r="AC8" s="33" t="s">
        <v>203</v>
      </c>
      <c r="AE8" s="1">
        <v>1</v>
      </c>
      <c r="AF8" s="1" t="s">
        <v>5</v>
      </c>
      <c r="AG8" s="22" t="s">
        <v>46</v>
      </c>
      <c r="AH8" s="1" t="s">
        <v>117</v>
      </c>
      <c r="AI8" s="1" t="str">
        <f t="shared" ref="AI8:AI23" si="1">AE8&amp;AG8&amp;AF8&amp;AH8</f>
        <v>1暖房店舗既存設備</v>
      </c>
      <c r="AJ8" s="21">
        <v>0.56200000000000006</v>
      </c>
      <c r="AK8" s="14">
        <v>0.9</v>
      </c>
      <c r="AL8" s="14">
        <v>1</v>
      </c>
      <c r="AM8" s="1"/>
      <c r="AN8" s="1"/>
      <c r="AO8" s="13">
        <v>1</v>
      </c>
      <c r="AP8" s="14">
        <f>IF(AJ8&gt;=0.5,AO8,IF(AJ8&gt;=0.3,AL8,AK8))</f>
        <v>1</v>
      </c>
    </row>
    <row r="9" spans="2:42">
      <c r="D9" s="1" t="s">
        <v>138</v>
      </c>
      <c r="F9" s="1" t="s">
        <v>70</v>
      </c>
      <c r="G9" s="19">
        <v>15050</v>
      </c>
      <c r="H9" s="1" t="s">
        <v>121</v>
      </c>
      <c r="I9" s="1" t="s">
        <v>76</v>
      </c>
      <c r="J9" s="1" t="s">
        <v>84</v>
      </c>
      <c r="K9" s="1" t="s">
        <v>112</v>
      </c>
      <c r="L9" s="1"/>
      <c r="M9" s="1"/>
      <c r="O9" s="1" t="s">
        <v>143</v>
      </c>
      <c r="P9" s="1" t="s">
        <v>0</v>
      </c>
      <c r="Q9" s="15">
        <v>2010</v>
      </c>
      <c r="R9" s="15" t="str">
        <f>O9&amp;P9&amp;Q9</f>
        <v>吸収冷温水機(ガス)冷房2010</v>
      </c>
      <c r="S9" s="10">
        <v>1.1759999999999999</v>
      </c>
      <c r="T9" s="16"/>
      <c r="U9" s="15">
        <v>1952</v>
      </c>
      <c r="V9" s="17">
        <v>1990</v>
      </c>
      <c r="X9" s="1">
        <v>1</v>
      </c>
      <c r="Y9" s="1" t="s">
        <v>6</v>
      </c>
      <c r="Z9" s="1" t="s">
        <v>39</v>
      </c>
      <c r="AA9" s="21">
        <v>0</v>
      </c>
      <c r="AB9" s="25">
        <v>0.58899999999999997</v>
      </c>
      <c r="AC9" s="33" t="s">
        <v>203</v>
      </c>
      <c r="AE9" s="1">
        <v>1</v>
      </c>
      <c r="AF9" s="1" t="s">
        <v>5</v>
      </c>
      <c r="AG9" s="22" t="s">
        <v>46</v>
      </c>
      <c r="AH9" s="1" t="s">
        <v>120</v>
      </c>
      <c r="AI9" s="1" t="str">
        <f t="shared" si="1"/>
        <v>1暖房店舗導入予定設備</v>
      </c>
      <c r="AJ9" s="21">
        <v>0.56200000000000006</v>
      </c>
      <c r="AK9" s="14">
        <v>0.9</v>
      </c>
      <c r="AL9" s="14">
        <v>1</v>
      </c>
      <c r="AM9" s="1"/>
      <c r="AN9" s="1"/>
      <c r="AO9" s="13">
        <v>1</v>
      </c>
      <c r="AP9" s="14">
        <f t="shared" ref="AP9:AP72" si="2">IF(AJ9&gt;=0.5,AO9,IF(AJ9&gt;=0.3,AL9,AK9))</f>
        <v>1</v>
      </c>
    </row>
    <row r="10" spans="2:42">
      <c r="D10" s="1" t="s">
        <v>137</v>
      </c>
      <c r="F10" s="1" t="s">
        <v>71</v>
      </c>
      <c r="G10" s="19">
        <v>5017</v>
      </c>
      <c r="H10" s="1" t="s">
        <v>121</v>
      </c>
      <c r="I10" s="1" t="s">
        <v>76</v>
      </c>
      <c r="J10" s="1" t="s">
        <v>84</v>
      </c>
      <c r="K10" s="1" t="s">
        <v>112</v>
      </c>
      <c r="L10" s="1"/>
      <c r="M10" s="1"/>
      <c r="O10" s="1" t="s">
        <v>145</v>
      </c>
      <c r="P10" s="1" t="s">
        <v>0</v>
      </c>
      <c r="Q10" s="15">
        <v>1990</v>
      </c>
      <c r="R10" s="15" t="str">
        <f>O10&amp;P10&amp;Q10</f>
        <v>ジェネリンク(ガス)冷房1990</v>
      </c>
      <c r="S10" s="10">
        <v>0.96</v>
      </c>
      <c r="T10" s="16"/>
      <c r="U10" s="15">
        <v>1953</v>
      </c>
      <c r="V10" s="17">
        <v>1990</v>
      </c>
      <c r="X10" s="1">
        <v>2</v>
      </c>
      <c r="Y10" s="1" t="s">
        <v>5</v>
      </c>
      <c r="Z10" s="1" t="s">
        <v>17</v>
      </c>
      <c r="AA10" s="21">
        <v>0</v>
      </c>
      <c r="AB10" s="21">
        <v>0.56200000000000006</v>
      </c>
      <c r="AC10" s="33" t="s">
        <v>203</v>
      </c>
      <c r="AE10" s="1">
        <v>1</v>
      </c>
      <c r="AF10" s="1" t="s">
        <v>6</v>
      </c>
      <c r="AG10" s="22" t="s">
        <v>46</v>
      </c>
      <c r="AH10" s="1" t="s">
        <v>117</v>
      </c>
      <c r="AI10" s="1" t="str">
        <f t="shared" si="1"/>
        <v>1暖房事務所既存設備</v>
      </c>
      <c r="AJ10" s="21">
        <v>0.58899999999999997</v>
      </c>
      <c r="AK10" s="14">
        <v>0.9</v>
      </c>
      <c r="AL10" s="14">
        <v>1</v>
      </c>
      <c r="AM10" s="1"/>
      <c r="AN10" s="1"/>
      <c r="AO10" s="14">
        <v>1</v>
      </c>
      <c r="AP10" s="14">
        <f t="shared" si="2"/>
        <v>1</v>
      </c>
    </row>
    <row r="11" spans="2:42">
      <c r="D11" s="1" t="s">
        <v>104</v>
      </c>
      <c r="F11" s="1" t="s">
        <v>162</v>
      </c>
      <c r="G11" s="19" t="s">
        <v>238</v>
      </c>
      <c r="H11" s="1" t="s">
        <v>121</v>
      </c>
      <c r="I11" s="1" t="s">
        <v>76</v>
      </c>
      <c r="J11" s="1" t="s">
        <v>84</v>
      </c>
      <c r="K11" s="1" t="s">
        <v>112</v>
      </c>
      <c r="L11" s="1"/>
      <c r="M11" s="1"/>
      <c r="O11" s="1" t="s">
        <v>145</v>
      </c>
      <c r="P11" s="1" t="s">
        <v>0</v>
      </c>
      <c r="Q11" s="15">
        <v>2000</v>
      </c>
      <c r="R11" s="15" t="str">
        <f>O11&amp;P11&amp;Q11</f>
        <v>ジェネリンク(ガス)冷房2000</v>
      </c>
      <c r="S11" s="10">
        <v>1.0069999999999999</v>
      </c>
      <c r="T11" s="16"/>
      <c r="U11" s="15">
        <v>1954</v>
      </c>
      <c r="V11" s="17">
        <v>1990</v>
      </c>
      <c r="X11" s="1">
        <v>2</v>
      </c>
      <c r="Y11" s="1" t="s">
        <v>6</v>
      </c>
      <c r="Z11" s="1" t="s">
        <v>18</v>
      </c>
      <c r="AA11" s="21">
        <v>0</v>
      </c>
      <c r="AB11" s="25">
        <v>0.57399999999999995</v>
      </c>
      <c r="AC11" s="33" t="s">
        <v>203</v>
      </c>
      <c r="AE11" s="1">
        <v>1</v>
      </c>
      <c r="AF11" s="1" t="s">
        <v>6</v>
      </c>
      <c r="AG11" s="22" t="s">
        <v>46</v>
      </c>
      <c r="AH11" s="1" t="s">
        <v>120</v>
      </c>
      <c r="AI11" s="1" t="str">
        <f t="shared" si="1"/>
        <v>1暖房事務所導入予定設備</v>
      </c>
      <c r="AJ11" s="21">
        <v>0.58899999999999997</v>
      </c>
      <c r="AK11" s="14">
        <v>0.9</v>
      </c>
      <c r="AL11" s="14">
        <v>1</v>
      </c>
      <c r="AM11" s="1"/>
      <c r="AN11" s="1"/>
      <c r="AO11" s="14">
        <v>1</v>
      </c>
      <c r="AP11" s="14">
        <f t="shared" si="2"/>
        <v>1</v>
      </c>
    </row>
    <row r="12" spans="2:42" ht="13.5" customHeight="1">
      <c r="D12" s="28" t="s">
        <v>141</v>
      </c>
      <c r="F12" s="1" t="s">
        <v>72</v>
      </c>
      <c r="G12" s="20">
        <v>10745</v>
      </c>
      <c r="H12" s="1" t="s">
        <v>80</v>
      </c>
      <c r="I12" s="1" t="s">
        <v>77</v>
      </c>
      <c r="J12" s="1" t="s">
        <v>85</v>
      </c>
      <c r="K12" s="1" t="s">
        <v>95</v>
      </c>
      <c r="L12" s="1">
        <v>0.86</v>
      </c>
      <c r="M12" s="1">
        <v>38.9</v>
      </c>
      <c r="O12" s="1" t="s">
        <v>136</v>
      </c>
      <c r="P12" s="1" t="s">
        <v>0</v>
      </c>
      <c r="Q12" s="15">
        <v>2010</v>
      </c>
      <c r="R12" s="15" t="str">
        <f>O12&amp;P12&amp;Q12</f>
        <v>ジェネリンク(ガス)冷房2010</v>
      </c>
      <c r="S12" s="10">
        <v>1.1759999999999999</v>
      </c>
      <c r="T12" s="16"/>
      <c r="U12" s="15">
        <v>1955</v>
      </c>
      <c r="V12" s="17">
        <v>1990</v>
      </c>
      <c r="X12" s="1">
        <v>3</v>
      </c>
      <c r="Y12" s="1" t="s">
        <v>5</v>
      </c>
      <c r="Z12" s="1" t="s">
        <v>19</v>
      </c>
      <c r="AA12" s="21">
        <v>0</v>
      </c>
      <c r="AB12" s="25">
        <v>0.27300000000000002</v>
      </c>
      <c r="AC12" s="33" t="s">
        <v>203</v>
      </c>
      <c r="AE12" s="1">
        <v>1</v>
      </c>
      <c r="AF12" s="1" t="s">
        <v>5</v>
      </c>
      <c r="AG12" s="12" t="s">
        <v>0</v>
      </c>
      <c r="AH12" s="1" t="s">
        <v>117</v>
      </c>
      <c r="AI12" s="1" t="str">
        <f t="shared" ref="AI12:AI15" si="3">AE12&amp;AG12&amp;AF12&amp;AH12</f>
        <v>1冷房店舗既存設備</v>
      </c>
      <c r="AJ12" s="21">
        <v>0</v>
      </c>
      <c r="AK12" s="14">
        <v>0.93</v>
      </c>
      <c r="AL12" s="14">
        <v>1.03</v>
      </c>
      <c r="AM12" s="1">
        <v>-0.06</v>
      </c>
      <c r="AN12" s="1">
        <v>1.06</v>
      </c>
      <c r="AO12" s="13">
        <f>ROUNDDOWN(AM12*AJ12+AN12,2)</f>
        <v>1.06</v>
      </c>
      <c r="AP12" s="14">
        <f t="shared" si="2"/>
        <v>0.93</v>
      </c>
    </row>
    <row r="13" spans="2:42">
      <c r="D13" s="29" t="s">
        <v>142</v>
      </c>
      <c r="F13" s="1" t="s">
        <v>73</v>
      </c>
      <c r="G13" s="20">
        <v>11047</v>
      </c>
      <c r="H13" s="1" t="s">
        <v>80</v>
      </c>
      <c r="I13" s="1" t="s">
        <v>77</v>
      </c>
      <c r="J13" s="1" t="s">
        <v>85</v>
      </c>
      <c r="K13" s="1" t="s">
        <v>95</v>
      </c>
      <c r="L13" s="1">
        <v>0.8</v>
      </c>
      <c r="M13" s="1">
        <v>36.5</v>
      </c>
      <c r="O13" s="1" t="s">
        <v>144</v>
      </c>
      <c r="P13" s="1" t="s">
        <v>0</v>
      </c>
      <c r="Q13" s="15">
        <v>1990</v>
      </c>
      <c r="R13" s="15" t="str">
        <f>O13&amp;P13&amp;Q13</f>
        <v>吸収冷温水機(油)冷房1990</v>
      </c>
      <c r="S13" s="10">
        <v>0.96</v>
      </c>
      <c r="T13" s="16"/>
      <c r="U13" s="15">
        <v>1956</v>
      </c>
      <c r="V13" s="17">
        <v>1990</v>
      </c>
      <c r="X13" s="1">
        <v>3</v>
      </c>
      <c r="Y13" s="1" t="s">
        <v>6</v>
      </c>
      <c r="Z13" s="1" t="s">
        <v>20</v>
      </c>
      <c r="AA13" s="21">
        <v>0</v>
      </c>
      <c r="AB13" s="21">
        <v>0.40100000000000002</v>
      </c>
      <c r="AC13" s="33" t="s">
        <v>203</v>
      </c>
      <c r="AE13" s="1">
        <v>1</v>
      </c>
      <c r="AF13" s="1" t="s">
        <v>5</v>
      </c>
      <c r="AG13" s="12" t="s">
        <v>0</v>
      </c>
      <c r="AH13" s="1" t="s">
        <v>120</v>
      </c>
      <c r="AI13" s="1" t="str">
        <f t="shared" si="3"/>
        <v>1冷房店舗導入予定設備</v>
      </c>
      <c r="AJ13" s="21">
        <v>0</v>
      </c>
      <c r="AK13" s="14">
        <v>0.96</v>
      </c>
      <c r="AL13" s="14">
        <v>1.07</v>
      </c>
      <c r="AM13" s="1">
        <v>-0.14000000000000001</v>
      </c>
      <c r="AN13" s="1">
        <v>1.1399999999999999</v>
      </c>
      <c r="AO13" s="13">
        <f t="shared" ref="AO13:AO15" si="4">ROUNDDOWN(AM13*AJ13+AN13,2)</f>
        <v>1.1399999999999999</v>
      </c>
      <c r="AP13" s="14">
        <f t="shared" si="2"/>
        <v>0.96</v>
      </c>
    </row>
    <row r="14" spans="2:42">
      <c r="D14" s="29" t="s">
        <v>102</v>
      </c>
      <c r="F14" s="1" t="s">
        <v>86</v>
      </c>
      <c r="G14" s="1"/>
      <c r="H14" s="1"/>
      <c r="I14" s="1" t="s">
        <v>148</v>
      </c>
      <c r="J14" s="1" t="s">
        <v>85</v>
      </c>
      <c r="K14" s="1" t="s">
        <v>95</v>
      </c>
      <c r="L14" s="1"/>
      <c r="M14" s="1"/>
      <c r="O14" s="1" t="s">
        <v>144</v>
      </c>
      <c r="P14" s="1" t="s">
        <v>0</v>
      </c>
      <c r="Q14" s="15">
        <v>2000</v>
      </c>
      <c r="R14" s="15" t="str">
        <f t="shared" ref="R14" si="5">O14&amp;P14&amp;Q14</f>
        <v>吸収冷温水機(油)冷房2000</v>
      </c>
      <c r="S14" s="10">
        <v>1.0069999999999999</v>
      </c>
      <c r="U14" s="15">
        <v>1957</v>
      </c>
      <c r="V14" s="17">
        <v>1990</v>
      </c>
      <c r="X14" s="1">
        <v>4</v>
      </c>
      <c r="Y14" s="1" t="s">
        <v>5</v>
      </c>
      <c r="Z14" s="1" t="s">
        <v>21</v>
      </c>
      <c r="AA14" s="21">
        <v>0</v>
      </c>
      <c r="AB14" s="21">
        <v>0.16</v>
      </c>
      <c r="AC14" s="33" t="s">
        <v>203</v>
      </c>
      <c r="AE14" s="1">
        <v>1</v>
      </c>
      <c r="AF14" s="1" t="s">
        <v>6</v>
      </c>
      <c r="AG14" s="12" t="s">
        <v>0</v>
      </c>
      <c r="AH14" s="1" t="s">
        <v>117</v>
      </c>
      <c r="AI14" s="1" t="str">
        <f t="shared" si="3"/>
        <v>1冷房事務所既存設備</v>
      </c>
      <c r="AJ14" s="21">
        <v>0</v>
      </c>
      <c r="AK14" s="14">
        <v>0.93</v>
      </c>
      <c r="AL14" s="14">
        <v>1.03</v>
      </c>
      <c r="AM14" s="1">
        <v>-0.06</v>
      </c>
      <c r="AN14" s="1">
        <v>1.06</v>
      </c>
      <c r="AO14" s="13">
        <f t="shared" si="4"/>
        <v>1.06</v>
      </c>
      <c r="AP14" s="14">
        <f t="shared" si="2"/>
        <v>0.93</v>
      </c>
    </row>
    <row r="15" spans="2:42">
      <c r="O15" s="1" t="s">
        <v>144</v>
      </c>
      <c r="P15" s="1" t="s">
        <v>0</v>
      </c>
      <c r="Q15" s="15">
        <v>2010</v>
      </c>
      <c r="R15" s="15" t="str">
        <f>O15&amp;P15&amp;Q15</f>
        <v>吸収冷温水機(油)冷房2010</v>
      </c>
      <c r="S15" s="10">
        <v>1.1759999999999999</v>
      </c>
      <c r="U15" s="15">
        <v>1958</v>
      </c>
      <c r="V15" s="17">
        <v>1990</v>
      </c>
      <c r="X15" s="1">
        <v>4</v>
      </c>
      <c r="Y15" s="1" t="s">
        <v>6</v>
      </c>
      <c r="Z15" s="1" t="s">
        <v>22</v>
      </c>
      <c r="AA15" s="21">
        <v>0</v>
      </c>
      <c r="AB15" s="21">
        <v>0.11</v>
      </c>
      <c r="AC15" s="33" t="s">
        <v>203</v>
      </c>
      <c r="AE15" s="1">
        <v>1</v>
      </c>
      <c r="AF15" s="1" t="s">
        <v>6</v>
      </c>
      <c r="AG15" s="12" t="s">
        <v>0</v>
      </c>
      <c r="AH15" s="1" t="s">
        <v>120</v>
      </c>
      <c r="AI15" s="1" t="str">
        <f t="shared" si="3"/>
        <v>1冷房事務所導入予定設備</v>
      </c>
      <c r="AJ15" s="21">
        <v>0</v>
      </c>
      <c r="AK15" s="14">
        <v>0.96</v>
      </c>
      <c r="AL15" s="14">
        <v>1.07</v>
      </c>
      <c r="AM15" s="1">
        <v>-0.14000000000000001</v>
      </c>
      <c r="AN15" s="1">
        <v>1.1399999999999999</v>
      </c>
      <c r="AO15" s="13">
        <f t="shared" si="4"/>
        <v>1.1399999999999999</v>
      </c>
      <c r="AP15" s="14">
        <f t="shared" si="2"/>
        <v>0.96</v>
      </c>
    </row>
    <row r="16" spans="2:42">
      <c r="O16" s="1" t="s">
        <v>137</v>
      </c>
      <c r="P16" s="1" t="s">
        <v>0</v>
      </c>
      <c r="Q16" s="15">
        <v>1990</v>
      </c>
      <c r="R16" s="15" t="str">
        <f t="shared" ref="R16" si="6">O16&amp;P16&amp;Q16</f>
        <v>ジェネリンク(油)冷房1990</v>
      </c>
      <c r="S16" s="10">
        <v>0.96</v>
      </c>
      <c r="U16" s="15">
        <v>1959</v>
      </c>
      <c r="V16" s="17">
        <v>1990</v>
      </c>
      <c r="X16" s="1">
        <v>5</v>
      </c>
      <c r="Y16" s="1" t="s">
        <v>5</v>
      </c>
      <c r="Z16" s="1" t="s">
        <v>23</v>
      </c>
      <c r="AA16" s="21">
        <v>0.29599999999999999</v>
      </c>
      <c r="AB16" s="21">
        <v>0</v>
      </c>
      <c r="AC16" s="33" t="s">
        <v>204</v>
      </c>
      <c r="AE16" s="1">
        <v>2</v>
      </c>
      <c r="AF16" s="1" t="s">
        <v>5</v>
      </c>
      <c r="AG16" s="22" t="s">
        <v>46</v>
      </c>
      <c r="AH16" s="1" t="s">
        <v>117</v>
      </c>
      <c r="AI16" s="1" t="str">
        <f t="shared" si="1"/>
        <v>2暖房店舗既存設備</v>
      </c>
      <c r="AJ16" s="21">
        <v>0.56200000000000006</v>
      </c>
      <c r="AK16" s="14">
        <v>0.9</v>
      </c>
      <c r="AL16" s="14">
        <v>1</v>
      </c>
      <c r="AM16" s="1"/>
      <c r="AN16" s="1"/>
      <c r="AO16" s="13">
        <v>1</v>
      </c>
      <c r="AP16" s="14">
        <f t="shared" si="2"/>
        <v>1</v>
      </c>
    </row>
    <row r="17" spans="6:42">
      <c r="F17" t="s">
        <v>157</v>
      </c>
      <c r="G17" s="6"/>
      <c r="H17" s="6"/>
      <c r="O17" s="1" t="s">
        <v>137</v>
      </c>
      <c r="P17" s="1" t="s">
        <v>0</v>
      </c>
      <c r="Q17" s="15">
        <v>2000</v>
      </c>
      <c r="R17" s="15" t="str">
        <f>O17&amp;P17&amp;Q17</f>
        <v>ジェネリンク(油)冷房2000</v>
      </c>
      <c r="S17" s="10">
        <v>1.0069999999999999</v>
      </c>
      <c r="U17" s="15">
        <v>1960</v>
      </c>
      <c r="V17" s="17">
        <v>1990</v>
      </c>
      <c r="X17" s="1">
        <v>5</v>
      </c>
      <c r="Y17" s="1" t="s">
        <v>6</v>
      </c>
      <c r="Z17" s="1" t="s">
        <v>24</v>
      </c>
      <c r="AA17" s="25">
        <v>0.104</v>
      </c>
      <c r="AB17" s="21">
        <v>0</v>
      </c>
      <c r="AC17" s="33" t="s">
        <v>204</v>
      </c>
      <c r="AE17" s="1">
        <v>2</v>
      </c>
      <c r="AF17" s="1" t="s">
        <v>5</v>
      </c>
      <c r="AG17" s="22" t="s">
        <v>46</v>
      </c>
      <c r="AH17" s="1" t="s">
        <v>120</v>
      </c>
      <c r="AI17" s="1" t="str">
        <f t="shared" si="1"/>
        <v>2暖房店舗導入予定設備</v>
      </c>
      <c r="AJ17" s="21">
        <v>0.56200000000000006</v>
      </c>
      <c r="AK17" s="14">
        <v>0.9</v>
      </c>
      <c r="AL17" s="14">
        <v>1</v>
      </c>
      <c r="AM17" s="1"/>
      <c r="AN17" s="1"/>
      <c r="AO17" s="13">
        <v>1</v>
      </c>
      <c r="AP17" s="14">
        <f t="shared" si="2"/>
        <v>1</v>
      </c>
    </row>
    <row r="18" spans="6:42">
      <c r="F18" s="1">
        <v>2.58E-2</v>
      </c>
      <c r="O18" s="1" t="s">
        <v>137</v>
      </c>
      <c r="P18" s="1" t="s">
        <v>0</v>
      </c>
      <c r="Q18" s="15">
        <v>2010</v>
      </c>
      <c r="R18" s="15" t="str">
        <f>O18&amp;P18&amp;Q18</f>
        <v>ジェネリンク(油)冷房2010</v>
      </c>
      <c r="S18" s="10">
        <v>1.1759999999999999</v>
      </c>
      <c r="U18" s="15">
        <v>1961</v>
      </c>
      <c r="V18" s="17">
        <v>1990</v>
      </c>
      <c r="X18" s="1">
        <v>6</v>
      </c>
      <c r="Y18" s="1" t="s">
        <v>5</v>
      </c>
      <c r="Z18" s="1" t="s">
        <v>25</v>
      </c>
      <c r="AA18" s="25">
        <v>0.435</v>
      </c>
      <c r="AB18" s="21">
        <v>0</v>
      </c>
      <c r="AC18" s="33" t="s">
        <v>204</v>
      </c>
      <c r="AE18" s="1">
        <v>2</v>
      </c>
      <c r="AF18" s="1" t="s">
        <v>6</v>
      </c>
      <c r="AG18" s="22" t="s">
        <v>46</v>
      </c>
      <c r="AH18" s="1" t="s">
        <v>117</v>
      </c>
      <c r="AI18" s="1" t="str">
        <f t="shared" si="1"/>
        <v>2暖房事務所既存設備</v>
      </c>
      <c r="AJ18" s="21">
        <v>0.57399999999999995</v>
      </c>
      <c r="AK18" s="14">
        <v>0.9</v>
      </c>
      <c r="AL18" s="14">
        <v>1</v>
      </c>
      <c r="AM18" s="1"/>
      <c r="AN18" s="1"/>
      <c r="AO18" s="14">
        <v>1</v>
      </c>
      <c r="AP18" s="14">
        <f t="shared" si="2"/>
        <v>1</v>
      </c>
    </row>
    <row r="19" spans="6:42">
      <c r="K19" s="6"/>
      <c r="L19" s="6"/>
      <c r="M19" s="6"/>
      <c r="N19" s="6"/>
      <c r="O19" s="1" t="s">
        <v>62</v>
      </c>
      <c r="P19" s="1" t="s">
        <v>61</v>
      </c>
      <c r="Q19" s="15">
        <v>1990</v>
      </c>
      <c r="R19" s="15" t="str">
        <f>O19&amp;P19&amp;Q19</f>
        <v>吸収冷凍機冷房1990</v>
      </c>
      <c r="S19" s="10">
        <v>1.1160000000000001</v>
      </c>
      <c r="T19" s="6"/>
      <c r="U19" s="15">
        <v>1962</v>
      </c>
      <c r="V19" s="17">
        <v>1990</v>
      </c>
      <c r="X19" s="1">
        <v>6</v>
      </c>
      <c r="Y19" s="1" t="s">
        <v>6</v>
      </c>
      <c r="Z19" s="1" t="s">
        <v>26</v>
      </c>
      <c r="AA19" s="25">
        <v>0.40200000000000002</v>
      </c>
      <c r="AB19" s="21">
        <v>0</v>
      </c>
      <c r="AC19" s="33" t="s">
        <v>204</v>
      </c>
      <c r="AE19" s="1">
        <v>2</v>
      </c>
      <c r="AF19" s="1" t="s">
        <v>6</v>
      </c>
      <c r="AG19" s="22" t="s">
        <v>46</v>
      </c>
      <c r="AH19" s="1" t="s">
        <v>120</v>
      </c>
      <c r="AI19" s="1" t="str">
        <f t="shared" si="1"/>
        <v>2暖房事務所導入予定設備</v>
      </c>
      <c r="AJ19" s="21">
        <v>0.57399999999999995</v>
      </c>
      <c r="AK19" s="14">
        <v>0.9</v>
      </c>
      <c r="AL19" s="14">
        <v>1</v>
      </c>
      <c r="AM19" s="1"/>
      <c r="AN19" s="1"/>
      <c r="AO19" s="14">
        <v>1</v>
      </c>
      <c r="AP19" s="14">
        <f t="shared" si="2"/>
        <v>1</v>
      </c>
    </row>
    <row r="20" spans="6:42">
      <c r="F20" s="26" t="s">
        <v>159</v>
      </c>
      <c r="O20" s="1" t="s">
        <v>62</v>
      </c>
      <c r="P20" s="1" t="s">
        <v>61</v>
      </c>
      <c r="Q20" s="15">
        <v>2000</v>
      </c>
      <c r="R20" s="15" t="str">
        <f t="shared" ref="R20:R21" si="7">O20&amp;P20&amp;Q20</f>
        <v>吸収冷凍機冷房2000</v>
      </c>
      <c r="S20" s="10">
        <v>1.1679999999999999</v>
      </c>
      <c r="U20" s="15">
        <v>1963</v>
      </c>
      <c r="V20" s="17">
        <v>1990</v>
      </c>
      <c r="X20" s="1">
        <v>7</v>
      </c>
      <c r="Y20" s="1" t="s">
        <v>5</v>
      </c>
      <c r="Z20" s="1" t="s">
        <v>27</v>
      </c>
      <c r="AA20" s="21">
        <v>0.64100000000000001</v>
      </c>
      <c r="AB20" s="21">
        <v>0</v>
      </c>
      <c r="AC20" s="33" t="s">
        <v>204</v>
      </c>
      <c r="AE20" s="1">
        <v>2</v>
      </c>
      <c r="AF20" s="1" t="s">
        <v>5</v>
      </c>
      <c r="AG20" s="12" t="s">
        <v>0</v>
      </c>
      <c r="AH20" s="1" t="s">
        <v>117</v>
      </c>
      <c r="AI20" s="1" t="str">
        <f t="shared" si="1"/>
        <v>2冷房店舗既存設備</v>
      </c>
      <c r="AJ20" s="21">
        <v>0</v>
      </c>
      <c r="AK20" s="14">
        <v>0.93</v>
      </c>
      <c r="AL20" s="14">
        <v>1.03</v>
      </c>
      <c r="AM20" s="1">
        <v>-0.06</v>
      </c>
      <c r="AN20" s="1">
        <v>1.06</v>
      </c>
      <c r="AO20" s="13">
        <f>ROUNDDOWN(AM20*AJ20+AN20,2)</f>
        <v>1.06</v>
      </c>
      <c r="AP20" s="14">
        <f t="shared" si="2"/>
        <v>0.93</v>
      </c>
    </row>
    <row r="21" spans="6:42">
      <c r="F21" s="27">
        <v>3.6</v>
      </c>
      <c r="O21" s="1" t="s">
        <v>62</v>
      </c>
      <c r="P21" s="1" t="s">
        <v>61</v>
      </c>
      <c r="Q21" s="15">
        <v>2010</v>
      </c>
      <c r="R21" s="15" t="str">
        <f t="shared" si="7"/>
        <v>吸収冷凍機冷房2010</v>
      </c>
      <c r="S21" s="10">
        <v>1.329</v>
      </c>
      <c r="U21" s="15">
        <v>1964</v>
      </c>
      <c r="V21" s="17">
        <v>1990</v>
      </c>
      <c r="W21" s="6"/>
      <c r="X21" s="1">
        <v>7</v>
      </c>
      <c r="Y21" s="1" t="s">
        <v>6</v>
      </c>
      <c r="Z21" s="1" t="s">
        <v>28</v>
      </c>
      <c r="AA21" s="25">
        <v>0.68600000000000005</v>
      </c>
      <c r="AB21" s="21">
        <v>0</v>
      </c>
      <c r="AC21" s="33" t="s">
        <v>204</v>
      </c>
      <c r="AE21" s="1">
        <v>2</v>
      </c>
      <c r="AF21" s="1" t="s">
        <v>5</v>
      </c>
      <c r="AG21" s="12" t="s">
        <v>0</v>
      </c>
      <c r="AH21" s="1" t="s">
        <v>120</v>
      </c>
      <c r="AI21" s="1" t="str">
        <f t="shared" si="1"/>
        <v>2冷房店舗導入予定設備</v>
      </c>
      <c r="AJ21" s="21">
        <v>0</v>
      </c>
      <c r="AK21" s="14">
        <v>0.96</v>
      </c>
      <c r="AL21" s="14">
        <v>1.07</v>
      </c>
      <c r="AM21" s="1">
        <v>-0.14000000000000001</v>
      </c>
      <c r="AN21" s="1">
        <v>1.1399999999999999</v>
      </c>
      <c r="AO21" s="13">
        <f t="shared" ref="AO21:AO23" si="8">ROUNDDOWN(AM21*AJ21+AN21,2)</f>
        <v>1.1399999999999999</v>
      </c>
      <c r="AP21" s="14">
        <f t="shared" si="2"/>
        <v>0.96</v>
      </c>
    </row>
    <row r="22" spans="6:42">
      <c r="O22" s="1" t="s">
        <v>101</v>
      </c>
      <c r="P22" s="1" t="s">
        <v>0</v>
      </c>
      <c r="Q22" s="15">
        <v>1990</v>
      </c>
      <c r="R22" s="15" t="str">
        <f t="shared" ref="R22:R24" si="9">O22&amp;P22&amp;Q22</f>
        <v>ジェネリンク(蒸気)冷房1990</v>
      </c>
      <c r="S22" s="10">
        <v>0.96</v>
      </c>
      <c r="U22" s="15">
        <v>1965</v>
      </c>
      <c r="V22" s="17">
        <v>1990</v>
      </c>
      <c r="X22" s="1">
        <v>8</v>
      </c>
      <c r="Y22" s="1" t="s">
        <v>5</v>
      </c>
      <c r="Z22" s="1" t="s">
        <v>29</v>
      </c>
      <c r="AA22" s="25">
        <v>0.69299999999999995</v>
      </c>
      <c r="AB22" s="21">
        <v>0</v>
      </c>
      <c r="AC22" s="33" t="s">
        <v>204</v>
      </c>
      <c r="AE22" s="1">
        <v>2</v>
      </c>
      <c r="AF22" s="1" t="s">
        <v>6</v>
      </c>
      <c r="AG22" s="12" t="s">
        <v>0</v>
      </c>
      <c r="AH22" s="1" t="s">
        <v>117</v>
      </c>
      <c r="AI22" s="1" t="str">
        <f t="shared" si="1"/>
        <v>2冷房事務所既存設備</v>
      </c>
      <c r="AJ22" s="21">
        <v>0</v>
      </c>
      <c r="AK22" s="14">
        <v>0.93</v>
      </c>
      <c r="AL22" s="14">
        <v>1.03</v>
      </c>
      <c r="AM22" s="1">
        <v>-0.06</v>
      </c>
      <c r="AN22" s="1">
        <v>1.06</v>
      </c>
      <c r="AO22" s="13">
        <f t="shared" si="8"/>
        <v>1.06</v>
      </c>
      <c r="AP22" s="14">
        <f t="shared" si="2"/>
        <v>0.93</v>
      </c>
    </row>
    <row r="23" spans="6:42">
      <c r="F23" t="s">
        <v>158</v>
      </c>
      <c r="O23" s="1" t="s">
        <v>101</v>
      </c>
      <c r="P23" s="1" t="s">
        <v>0</v>
      </c>
      <c r="Q23" s="15">
        <v>2000</v>
      </c>
      <c r="R23" s="15" t="str">
        <f t="shared" si="9"/>
        <v>ジェネリンク(蒸気)冷房2000</v>
      </c>
      <c r="S23" s="10">
        <v>1.0069999999999999</v>
      </c>
      <c r="U23" s="15">
        <v>1966</v>
      </c>
      <c r="V23" s="17">
        <v>1990</v>
      </c>
      <c r="X23" s="1">
        <v>8</v>
      </c>
      <c r="Y23" s="1" t="s">
        <v>6</v>
      </c>
      <c r="Z23" s="1" t="s">
        <v>30</v>
      </c>
      <c r="AA23" s="21">
        <v>0.76300000000000001</v>
      </c>
      <c r="AB23" s="21">
        <v>0</v>
      </c>
      <c r="AC23" s="33" t="s">
        <v>204</v>
      </c>
      <c r="AE23" s="1">
        <v>2</v>
      </c>
      <c r="AF23" s="1" t="s">
        <v>6</v>
      </c>
      <c r="AG23" s="12" t="s">
        <v>0</v>
      </c>
      <c r="AH23" s="1" t="s">
        <v>120</v>
      </c>
      <c r="AI23" s="1" t="str">
        <f t="shared" si="1"/>
        <v>2冷房事務所導入予定設備</v>
      </c>
      <c r="AJ23" s="21">
        <v>0</v>
      </c>
      <c r="AK23" s="14">
        <v>0.96</v>
      </c>
      <c r="AL23" s="14">
        <v>1.07</v>
      </c>
      <c r="AM23" s="1">
        <v>-0.14000000000000001</v>
      </c>
      <c r="AN23" s="1">
        <v>1.1399999999999999</v>
      </c>
      <c r="AO23" s="13">
        <f t="shared" si="8"/>
        <v>1.1399999999999999</v>
      </c>
      <c r="AP23" s="14">
        <f t="shared" si="2"/>
        <v>0.96</v>
      </c>
    </row>
    <row r="24" spans="6:42">
      <c r="F24" s="1">
        <v>8.64</v>
      </c>
      <c r="O24" s="1" t="s">
        <v>101</v>
      </c>
      <c r="P24" s="1" t="s">
        <v>0</v>
      </c>
      <c r="Q24" s="15">
        <v>2010</v>
      </c>
      <c r="R24" s="15" t="str">
        <f t="shared" si="9"/>
        <v>ジェネリンク(蒸気)冷房2010</v>
      </c>
      <c r="S24" s="10">
        <v>1.1759999999999999</v>
      </c>
      <c r="U24" s="15">
        <v>1967</v>
      </c>
      <c r="V24" s="17">
        <v>1990</v>
      </c>
      <c r="X24" s="1">
        <v>9</v>
      </c>
      <c r="Y24" s="1" t="s">
        <v>5</v>
      </c>
      <c r="Z24" s="1" t="s">
        <v>31</v>
      </c>
      <c r="AA24" s="21">
        <v>0.47</v>
      </c>
      <c r="AB24" s="21">
        <v>0</v>
      </c>
      <c r="AC24" s="33" t="s">
        <v>204</v>
      </c>
      <c r="AE24" s="1">
        <v>3</v>
      </c>
      <c r="AF24" s="1" t="s">
        <v>5</v>
      </c>
      <c r="AG24" s="22" t="s">
        <v>1</v>
      </c>
      <c r="AH24" s="1" t="s">
        <v>117</v>
      </c>
      <c r="AI24" s="1" t="str">
        <f t="shared" ref="AI24:AI87" si="10">AE24&amp;AG24&amp;AF24&amp;AH24</f>
        <v>3暖房店舗既存設備</v>
      </c>
      <c r="AJ24" s="21">
        <v>0.27300000000000002</v>
      </c>
      <c r="AK24" s="14">
        <v>0.9</v>
      </c>
      <c r="AL24" s="14">
        <v>1</v>
      </c>
      <c r="AM24" s="1"/>
      <c r="AN24" s="1"/>
      <c r="AO24" s="14">
        <v>1</v>
      </c>
      <c r="AP24" s="14">
        <f t="shared" si="2"/>
        <v>0.9</v>
      </c>
    </row>
    <row r="25" spans="6:42">
      <c r="O25" s="1" t="s">
        <v>143</v>
      </c>
      <c r="P25" s="1" t="s">
        <v>1</v>
      </c>
      <c r="Q25" s="15">
        <v>1990</v>
      </c>
      <c r="R25" s="15" t="str">
        <f t="shared" ref="R25" si="11">O25&amp;P25&amp;Q25</f>
        <v>吸収冷温水機(ガス)暖房1990</v>
      </c>
      <c r="S25" s="10">
        <v>0.84</v>
      </c>
      <c r="U25" s="15">
        <v>1968</v>
      </c>
      <c r="V25" s="17">
        <v>1990</v>
      </c>
      <c r="X25" s="1">
        <v>9</v>
      </c>
      <c r="Y25" s="1" t="s">
        <v>6</v>
      </c>
      <c r="Z25" s="1" t="s">
        <v>32</v>
      </c>
      <c r="AA25" s="25">
        <v>0.50600000000000001</v>
      </c>
      <c r="AB25" s="21">
        <v>0</v>
      </c>
      <c r="AC25" s="33" t="s">
        <v>204</v>
      </c>
      <c r="AE25" s="1">
        <v>3</v>
      </c>
      <c r="AF25" s="1" t="s">
        <v>5</v>
      </c>
      <c r="AG25" s="22" t="s">
        <v>1</v>
      </c>
      <c r="AH25" s="1" t="s">
        <v>120</v>
      </c>
      <c r="AI25" s="1" t="str">
        <f t="shared" si="10"/>
        <v>3暖房店舗導入予定設備</v>
      </c>
      <c r="AJ25" s="21">
        <v>0.27300000000000002</v>
      </c>
      <c r="AK25" s="14">
        <v>0.9</v>
      </c>
      <c r="AL25" s="14">
        <v>1</v>
      </c>
      <c r="AM25" s="1"/>
      <c r="AN25" s="1"/>
      <c r="AO25" s="14">
        <v>1</v>
      </c>
      <c r="AP25" s="14">
        <f t="shared" si="2"/>
        <v>0.9</v>
      </c>
    </row>
    <row r="26" spans="6:42">
      <c r="O26" s="1" t="s">
        <v>143</v>
      </c>
      <c r="P26" s="1" t="s">
        <v>1</v>
      </c>
      <c r="Q26" s="15">
        <v>2000</v>
      </c>
      <c r="R26" s="15" t="str">
        <f>O26&amp;P26&amp;Q26</f>
        <v>吸収冷温水機(ガス)暖房2000</v>
      </c>
      <c r="S26" s="10">
        <v>0.84</v>
      </c>
      <c r="U26" s="15">
        <v>1969</v>
      </c>
      <c r="V26" s="17">
        <v>1990</v>
      </c>
      <c r="X26" s="1">
        <v>10</v>
      </c>
      <c r="Y26" s="1" t="s">
        <v>5</v>
      </c>
      <c r="Z26" s="1" t="s">
        <v>33</v>
      </c>
      <c r="AA26" s="25">
        <v>0.36399999999999999</v>
      </c>
      <c r="AB26" s="21">
        <v>0</v>
      </c>
      <c r="AC26" s="33" t="s">
        <v>204</v>
      </c>
      <c r="AE26" s="1">
        <v>3</v>
      </c>
      <c r="AF26" s="1" t="s">
        <v>6</v>
      </c>
      <c r="AG26" s="22" t="s">
        <v>1</v>
      </c>
      <c r="AH26" s="1" t="s">
        <v>117</v>
      </c>
      <c r="AI26" s="1" t="str">
        <f t="shared" si="10"/>
        <v>3暖房事務所既存設備</v>
      </c>
      <c r="AJ26" s="21">
        <v>0.40100000000000002</v>
      </c>
      <c r="AK26" s="14">
        <v>0.9</v>
      </c>
      <c r="AL26" s="14">
        <v>1</v>
      </c>
      <c r="AM26" s="1"/>
      <c r="AN26" s="1"/>
      <c r="AO26" s="14">
        <v>1</v>
      </c>
      <c r="AP26" s="14">
        <f t="shared" si="2"/>
        <v>1</v>
      </c>
    </row>
    <row r="27" spans="6:42">
      <c r="F27" s="1" t="s">
        <v>172</v>
      </c>
      <c r="G27" s="1" t="s">
        <v>173</v>
      </c>
      <c r="H27" s="1" t="s">
        <v>235</v>
      </c>
      <c r="I27" s="1" t="s">
        <v>74</v>
      </c>
      <c r="O27" s="1" t="s">
        <v>143</v>
      </c>
      <c r="P27" s="1" t="s">
        <v>1</v>
      </c>
      <c r="Q27" s="15">
        <v>2010</v>
      </c>
      <c r="R27" s="15" t="str">
        <f>O27&amp;P27&amp;Q27</f>
        <v>吸収冷温水機(ガス)暖房2010</v>
      </c>
      <c r="S27" s="10">
        <v>0.87</v>
      </c>
      <c r="U27" s="15">
        <v>1970</v>
      </c>
      <c r="V27" s="17">
        <v>1990</v>
      </c>
      <c r="X27" s="1">
        <v>10</v>
      </c>
      <c r="Y27" s="1" t="s">
        <v>6</v>
      </c>
      <c r="Z27" s="1" t="s">
        <v>34</v>
      </c>
      <c r="AA27" s="25">
        <v>6.0999999999999999E-2</v>
      </c>
      <c r="AB27" s="21">
        <v>0</v>
      </c>
      <c r="AC27" s="33" t="s">
        <v>204</v>
      </c>
      <c r="AE27" s="1">
        <v>3</v>
      </c>
      <c r="AF27" s="1" t="s">
        <v>6</v>
      </c>
      <c r="AG27" s="22" t="s">
        <v>1</v>
      </c>
      <c r="AH27" s="1" t="s">
        <v>120</v>
      </c>
      <c r="AI27" s="1" t="str">
        <f t="shared" si="10"/>
        <v>3暖房事務所導入予定設備</v>
      </c>
      <c r="AJ27" s="21">
        <v>0.40100000000000002</v>
      </c>
      <c r="AK27" s="14">
        <v>0.9</v>
      </c>
      <c r="AL27" s="14">
        <v>1</v>
      </c>
      <c r="AM27" s="1"/>
      <c r="AN27" s="1"/>
      <c r="AO27" s="14">
        <v>1</v>
      </c>
      <c r="AP27" s="14">
        <f t="shared" si="2"/>
        <v>1</v>
      </c>
    </row>
    <row r="28" spans="6:42">
      <c r="F28" s="1" t="s">
        <v>54</v>
      </c>
      <c r="G28" s="1">
        <v>45</v>
      </c>
      <c r="H28" s="1">
        <v>1</v>
      </c>
      <c r="I28" s="1" t="s">
        <v>202</v>
      </c>
      <c r="O28" s="1" t="s">
        <v>136</v>
      </c>
      <c r="P28" s="1" t="s">
        <v>1</v>
      </c>
      <c r="Q28" s="15">
        <v>1990</v>
      </c>
      <c r="R28" s="15" t="str">
        <f>O28&amp;P28&amp;Q28</f>
        <v>ジェネリンク(ガス)暖房1990</v>
      </c>
      <c r="S28" s="10">
        <v>0.84</v>
      </c>
      <c r="U28" s="15">
        <v>1971</v>
      </c>
      <c r="V28" s="17">
        <v>1990</v>
      </c>
      <c r="X28" s="1">
        <v>11</v>
      </c>
      <c r="Y28" s="1" t="s">
        <v>5</v>
      </c>
      <c r="Z28" s="1" t="s">
        <v>35</v>
      </c>
      <c r="AA28" s="21">
        <v>0</v>
      </c>
      <c r="AB28" s="25">
        <v>0.154</v>
      </c>
      <c r="AC28" s="33" t="s">
        <v>203</v>
      </c>
      <c r="AE28" s="1">
        <v>3</v>
      </c>
      <c r="AF28" s="1" t="s">
        <v>5</v>
      </c>
      <c r="AG28" s="12" t="s">
        <v>0</v>
      </c>
      <c r="AH28" s="1" t="s">
        <v>117</v>
      </c>
      <c r="AI28" s="1" t="str">
        <f t="shared" si="10"/>
        <v>3冷房店舗既存設備</v>
      </c>
      <c r="AJ28" s="21">
        <v>0</v>
      </c>
      <c r="AK28" s="14">
        <v>0.93</v>
      </c>
      <c r="AL28" s="14">
        <v>1.03</v>
      </c>
      <c r="AM28" s="1">
        <v>-0.06</v>
      </c>
      <c r="AN28" s="1">
        <v>1.06</v>
      </c>
      <c r="AO28" s="13">
        <f t="shared" ref="AO28:AO31" si="12">ROUNDDOWN(AM28*AJ28+AN28,2)</f>
        <v>1.06</v>
      </c>
      <c r="AP28" s="14">
        <f t="shared" si="2"/>
        <v>0.93</v>
      </c>
    </row>
    <row r="29" spans="6:42">
      <c r="F29" s="1" t="s">
        <v>69</v>
      </c>
      <c r="G29" s="1">
        <v>100</v>
      </c>
      <c r="H29" s="1">
        <v>1.99</v>
      </c>
      <c r="I29" s="1" t="s">
        <v>236</v>
      </c>
      <c r="O29" s="1" t="s">
        <v>136</v>
      </c>
      <c r="P29" s="1" t="s">
        <v>1</v>
      </c>
      <c r="Q29" s="15">
        <v>2000</v>
      </c>
      <c r="R29" s="15" t="str">
        <f>O29&amp;P29&amp;Q29</f>
        <v>ジェネリンク(ガス)暖房2000</v>
      </c>
      <c r="S29" s="10">
        <v>0.84</v>
      </c>
      <c r="U29" s="15">
        <v>1972</v>
      </c>
      <c r="V29" s="17">
        <v>1990</v>
      </c>
      <c r="X29" s="1">
        <v>11</v>
      </c>
      <c r="Y29" s="1" t="s">
        <v>6</v>
      </c>
      <c r="Z29" s="1" t="s">
        <v>36</v>
      </c>
      <c r="AA29" s="21">
        <v>0</v>
      </c>
      <c r="AB29" s="21">
        <v>0.20599999999999999</v>
      </c>
      <c r="AC29" s="33" t="s">
        <v>203</v>
      </c>
      <c r="AE29" s="1">
        <v>3</v>
      </c>
      <c r="AF29" s="1" t="s">
        <v>5</v>
      </c>
      <c r="AG29" s="12" t="s">
        <v>0</v>
      </c>
      <c r="AH29" s="1" t="s">
        <v>120</v>
      </c>
      <c r="AI29" s="1" t="str">
        <f t="shared" si="10"/>
        <v>3冷房店舗導入予定設備</v>
      </c>
      <c r="AJ29" s="21">
        <v>0</v>
      </c>
      <c r="AK29" s="14">
        <v>0.96</v>
      </c>
      <c r="AL29" s="14">
        <v>1.07</v>
      </c>
      <c r="AM29" s="1">
        <v>-0.14000000000000001</v>
      </c>
      <c r="AN29" s="1">
        <v>1.1399999999999999</v>
      </c>
      <c r="AO29" s="13">
        <f t="shared" si="12"/>
        <v>1.1399999999999999</v>
      </c>
      <c r="AP29" s="14">
        <f t="shared" si="2"/>
        <v>0.96</v>
      </c>
    </row>
    <row r="30" spans="6:42">
      <c r="F30" s="1" t="s">
        <v>71</v>
      </c>
      <c r="G30" s="1">
        <v>21</v>
      </c>
      <c r="H30" s="1">
        <v>1</v>
      </c>
      <c r="I30" s="1" t="s">
        <v>237</v>
      </c>
      <c r="O30" s="1" t="s">
        <v>136</v>
      </c>
      <c r="P30" s="1" t="s">
        <v>1</v>
      </c>
      <c r="Q30" s="15">
        <v>2010</v>
      </c>
      <c r="R30" s="15" t="str">
        <f>O30&amp;P30&amp;Q30</f>
        <v>ジェネリンク(ガス)暖房2010</v>
      </c>
      <c r="S30" s="10">
        <v>0.87</v>
      </c>
      <c r="U30" s="15">
        <v>1973</v>
      </c>
      <c r="V30" s="17">
        <v>1990</v>
      </c>
      <c r="X30" s="1">
        <v>12</v>
      </c>
      <c r="Y30" s="1" t="s">
        <v>5</v>
      </c>
      <c r="Z30" s="1" t="s">
        <v>37</v>
      </c>
      <c r="AA30" s="21">
        <v>0</v>
      </c>
      <c r="AB30" s="21">
        <v>0.371</v>
      </c>
      <c r="AC30" s="33" t="s">
        <v>203</v>
      </c>
      <c r="AE30" s="1">
        <v>3</v>
      </c>
      <c r="AF30" s="1" t="s">
        <v>6</v>
      </c>
      <c r="AG30" s="12" t="s">
        <v>0</v>
      </c>
      <c r="AH30" s="1" t="s">
        <v>117</v>
      </c>
      <c r="AI30" s="1" t="str">
        <f t="shared" si="10"/>
        <v>3冷房事務所既存設備</v>
      </c>
      <c r="AJ30" s="21">
        <v>0</v>
      </c>
      <c r="AK30" s="14">
        <v>0.93</v>
      </c>
      <c r="AL30" s="14">
        <v>1.03</v>
      </c>
      <c r="AM30" s="1">
        <v>-0.06</v>
      </c>
      <c r="AN30" s="1">
        <v>1.06</v>
      </c>
      <c r="AO30" s="13">
        <f t="shared" si="12"/>
        <v>1.06</v>
      </c>
      <c r="AP30" s="14">
        <f t="shared" si="2"/>
        <v>0.93</v>
      </c>
    </row>
    <row r="31" spans="6:42">
      <c r="F31" s="1" t="s">
        <v>162</v>
      </c>
      <c r="G31" s="19" t="s">
        <v>238</v>
      </c>
      <c r="H31" s="1">
        <v>1</v>
      </c>
      <c r="I31" s="1" t="s">
        <v>237</v>
      </c>
      <c r="O31" s="1" t="s">
        <v>144</v>
      </c>
      <c r="P31" s="1" t="s">
        <v>1</v>
      </c>
      <c r="Q31" s="15">
        <v>1990</v>
      </c>
      <c r="R31" s="15" t="str">
        <f t="shared" ref="R31" si="13">O31&amp;P31&amp;Q31</f>
        <v>吸収冷温水機(油)暖房1990</v>
      </c>
      <c r="S31" s="10">
        <v>0.84</v>
      </c>
      <c r="U31" s="15">
        <v>1974</v>
      </c>
      <c r="V31" s="17">
        <v>1990</v>
      </c>
      <c r="X31" s="1">
        <v>12</v>
      </c>
      <c r="Y31" s="1" t="s">
        <v>6</v>
      </c>
      <c r="Z31" s="1" t="s">
        <v>38</v>
      </c>
      <c r="AA31" s="21">
        <v>0</v>
      </c>
      <c r="AB31" s="21">
        <v>0.48599999999999999</v>
      </c>
      <c r="AC31" s="33" t="s">
        <v>203</v>
      </c>
      <c r="AE31" s="1">
        <v>3</v>
      </c>
      <c r="AF31" s="1" t="s">
        <v>6</v>
      </c>
      <c r="AG31" s="12" t="s">
        <v>0</v>
      </c>
      <c r="AH31" s="1" t="s">
        <v>120</v>
      </c>
      <c r="AI31" s="1" t="str">
        <f t="shared" si="10"/>
        <v>3冷房事務所導入予定設備</v>
      </c>
      <c r="AJ31" s="21">
        <v>0</v>
      </c>
      <c r="AK31" s="14">
        <v>0.96</v>
      </c>
      <c r="AL31" s="14">
        <v>1.07</v>
      </c>
      <c r="AM31" s="1">
        <v>-0.14000000000000001</v>
      </c>
      <c r="AN31" s="1">
        <v>1.1399999999999999</v>
      </c>
      <c r="AO31" s="13">
        <f t="shared" si="12"/>
        <v>1.1399999999999999</v>
      </c>
      <c r="AP31" s="14">
        <f t="shared" si="2"/>
        <v>0.96</v>
      </c>
    </row>
    <row r="32" spans="6:42">
      <c r="F32" s="1"/>
      <c r="G32" s="1"/>
      <c r="O32" s="1" t="s">
        <v>144</v>
      </c>
      <c r="P32" s="1" t="s">
        <v>1</v>
      </c>
      <c r="Q32" s="15">
        <v>2000</v>
      </c>
      <c r="R32" s="15" t="str">
        <f t="shared" ref="R32:R39" si="14">O32&amp;P32&amp;Q32</f>
        <v>吸収冷温水機(油)暖房2000</v>
      </c>
      <c r="S32" s="10">
        <v>0.84</v>
      </c>
      <c r="U32" s="15">
        <v>1975</v>
      </c>
      <c r="V32" s="17">
        <v>1990</v>
      </c>
      <c r="X32" s="34">
        <v>1</v>
      </c>
      <c r="Y32" s="34" t="s">
        <v>205</v>
      </c>
      <c r="Z32" s="1" t="s">
        <v>206</v>
      </c>
      <c r="AA32" t="s">
        <v>218</v>
      </c>
      <c r="AB32" t="s">
        <v>218</v>
      </c>
      <c r="AC32" t="s">
        <v>218</v>
      </c>
      <c r="AE32" s="1">
        <v>4</v>
      </c>
      <c r="AF32" s="1" t="s">
        <v>5</v>
      </c>
      <c r="AG32" s="22" t="s">
        <v>1</v>
      </c>
      <c r="AH32" s="1" t="s">
        <v>117</v>
      </c>
      <c r="AI32" s="1" t="str">
        <f t="shared" si="10"/>
        <v>4暖房店舗既存設備</v>
      </c>
      <c r="AJ32" s="21">
        <v>0.16</v>
      </c>
      <c r="AK32" s="14">
        <v>0.9</v>
      </c>
      <c r="AL32" s="14">
        <v>1</v>
      </c>
      <c r="AM32" s="1"/>
      <c r="AN32" s="1"/>
      <c r="AO32" s="14">
        <v>1</v>
      </c>
      <c r="AP32" s="14">
        <f t="shared" si="2"/>
        <v>0.9</v>
      </c>
    </row>
    <row r="33" spans="15:42">
      <c r="O33" s="1" t="s">
        <v>144</v>
      </c>
      <c r="P33" s="1" t="s">
        <v>1</v>
      </c>
      <c r="Q33" s="15">
        <v>2010</v>
      </c>
      <c r="R33" s="15" t="str">
        <f t="shared" si="14"/>
        <v>吸収冷温水機(油)暖房2010</v>
      </c>
      <c r="S33" s="10">
        <v>0.87</v>
      </c>
      <c r="U33" s="15">
        <v>1976</v>
      </c>
      <c r="V33" s="17">
        <v>1990</v>
      </c>
      <c r="X33" s="34">
        <v>2</v>
      </c>
      <c r="Y33" s="34" t="s">
        <v>205</v>
      </c>
      <c r="Z33" s="1" t="s">
        <v>207</v>
      </c>
      <c r="AA33" s="16" t="s">
        <v>218</v>
      </c>
      <c r="AB33" s="16" t="s">
        <v>218</v>
      </c>
      <c r="AC33" s="16" t="s">
        <v>218</v>
      </c>
      <c r="AE33" s="1">
        <v>4</v>
      </c>
      <c r="AF33" s="1" t="s">
        <v>5</v>
      </c>
      <c r="AG33" s="22" t="s">
        <v>1</v>
      </c>
      <c r="AH33" s="1" t="s">
        <v>120</v>
      </c>
      <c r="AI33" s="1" t="str">
        <f t="shared" si="10"/>
        <v>4暖房店舗導入予定設備</v>
      </c>
      <c r="AJ33" s="21">
        <v>0.16</v>
      </c>
      <c r="AK33" s="14">
        <v>0.9</v>
      </c>
      <c r="AL33" s="14">
        <v>1</v>
      </c>
      <c r="AM33" s="1"/>
      <c r="AN33" s="1"/>
      <c r="AO33" s="14">
        <v>1</v>
      </c>
      <c r="AP33" s="14">
        <f t="shared" si="2"/>
        <v>0.9</v>
      </c>
    </row>
    <row r="34" spans="15:42">
      <c r="O34" s="1" t="s">
        <v>137</v>
      </c>
      <c r="P34" s="1" t="s">
        <v>1</v>
      </c>
      <c r="Q34" s="15">
        <v>1990</v>
      </c>
      <c r="R34" s="15" t="str">
        <f t="shared" si="14"/>
        <v>ジェネリンク(油)暖房1990</v>
      </c>
      <c r="S34" s="10">
        <v>0.84</v>
      </c>
      <c r="U34" s="15">
        <v>1977</v>
      </c>
      <c r="V34" s="17">
        <v>1990</v>
      </c>
      <c r="X34" s="34">
        <v>3</v>
      </c>
      <c r="Y34" s="34" t="s">
        <v>205</v>
      </c>
      <c r="Z34" s="1" t="s">
        <v>208</v>
      </c>
      <c r="AA34" s="16" t="s">
        <v>218</v>
      </c>
      <c r="AB34" s="16" t="s">
        <v>218</v>
      </c>
      <c r="AC34" s="16" t="s">
        <v>218</v>
      </c>
      <c r="AE34" s="1">
        <v>4</v>
      </c>
      <c r="AF34" s="1" t="s">
        <v>6</v>
      </c>
      <c r="AG34" s="22" t="s">
        <v>1</v>
      </c>
      <c r="AH34" s="1" t="s">
        <v>117</v>
      </c>
      <c r="AI34" s="1" t="str">
        <f t="shared" si="10"/>
        <v>4暖房事務所既存設備</v>
      </c>
      <c r="AJ34" s="21">
        <v>0.11</v>
      </c>
      <c r="AK34" s="14">
        <v>0.9</v>
      </c>
      <c r="AL34" s="14">
        <v>1</v>
      </c>
      <c r="AM34" s="1"/>
      <c r="AN34" s="1"/>
      <c r="AO34" s="14">
        <v>1</v>
      </c>
      <c r="AP34" s="14">
        <f t="shared" si="2"/>
        <v>0.9</v>
      </c>
    </row>
    <row r="35" spans="15:42">
      <c r="O35" s="1" t="s">
        <v>137</v>
      </c>
      <c r="P35" s="1" t="s">
        <v>1</v>
      </c>
      <c r="Q35" s="15">
        <v>2000</v>
      </c>
      <c r="R35" s="15" t="str">
        <f t="shared" si="14"/>
        <v>ジェネリンク(油)暖房2000</v>
      </c>
      <c r="S35" s="10">
        <v>0.84</v>
      </c>
      <c r="U35" s="15">
        <v>1978</v>
      </c>
      <c r="V35" s="17">
        <v>1990</v>
      </c>
      <c r="X35" s="34">
        <v>4</v>
      </c>
      <c r="Y35" s="34" t="s">
        <v>205</v>
      </c>
      <c r="Z35" s="1" t="s">
        <v>209</v>
      </c>
      <c r="AA35" s="16" t="s">
        <v>218</v>
      </c>
      <c r="AB35" s="16" t="s">
        <v>218</v>
      </c>
      <c r="AC35" s="16" t="s">
        <v>218</v>
      </c>
      <c r="AE35" s="1">
        <v>4</v>
      </c>
      <c r="AF35" s="1" t="s">
        <v>6</v>
      </c>
      <c r="AG35" s="22" t="s">
        <v>1</v>
      </c>
      <c r="AH35" s="1" t="s">
        <v>120</v>
      </c>
      <c r="AI35" s="1" t="str">
        <f t="shared" si="10"/>
        <v>4暖房事務所導入予定設備</v>
      </c>
      <c r="AJ35" s="21">
        <v>0.11</v>
      </c>
      <c r="AK35" s="14">
        <v>0.9</v>
      </c>
      <c r="AL35" s="14">
        <v>1</v>
      </c>
      <c r="AM35" s="1"/>
      <c r="AN35" s="1"/>
      <c r="AO35" s="14">
        <v>1</v>
      </c>
      <c r="AP35" s="14">
        <f t="shared" si="2"/>
        <v>0.9</v>
      </c>
    </row>
    <row r="36" spans="15:42">
      <c r="O36" s="1" t="s">
        <v>137</v>
      </c>
      <c r="P36" s="1" t="s">
        <v>1</v>
      </c>
      <c r="Q36" s="15">
        <v>2010</v>
      </c>
      <c r="R36" s="15" t="str">
        <f t="shared" si="14"/>
        <v>ジェネリンク(油)暖房2010</v>
      </c>
      <c r="S36" s="10">
        <v>0.87</v>
      </c>
      <c r="U36" s="15">
        <v>1979</v>
      </c>
      <c r="V36" s="17">
        <v>1990</v>
      </c>
      <c r="X36" s="34">
        <v>5</v>
      </c>
      <c r="Y36" s="34" t="s">
        <v>205</v>
      </c>
      <c r="Z36" s="1" t="s">
        <v>210</v>
      </c>
      <c r="AA36" s="16" t="s">
        <v>218</v>
      </c>
      <c r="AB36" s="16" t="s">
        <v>218</v>
      </c>
      <c r="AC36" s="16" t="s">
        <v>218</v>
      </c>
      <c r="AE36" s="1">
        <v>4</v>
      </c>
      <c r="AF36" s="1" t="s">
        <v>5</v>
      </c>
      <c r="AG36" s="12" t="s">
        <v>0</v>
      </c>
      <c r="AH36" s="1" t="s">
        <v>117</v>
      </c>
      <c r="AI36" s="1" t="str">
        <f t="shared" si="10"/>
        <v>4冷房店舗既存設備</v>
      </c>
      <c r="AJ36" s="21">
        <v>0</v>
      </c>
      <c r="AK36" s="14">
        <v>0.93</v>
      </c>
      <c r="AL36" s="14">
        <v>1.03</v>
      </c>
      <c r="AM36" s="1">
        <v>-0.06</v>
      </c>
      <c r="AN36" s="1">
        <v>1.06</v>
      </c>
      <c r="AO36" s="13">
        <f t="shared" ref="AO36:AO39" si="15">ROUNDDOWN(AM36*AJ36+AN36,2)</f>
        <v>1.06</v>
      </c>
      <c r="AP36" s="14">
        <f t="shared" si="2"/>
        <v>0.93</v>
      </c>
    </row>
    <row r="37" spans="15:42">
      <c r="O37" s="1" t="s">
        <v>101</v>
      </c>
      <c r="P37" s="1" t="s">
        <v>1</v>
      </c>
      <c r="Q37" s="15">
        <v>1990</v>
      </c>
      <c r="R37" s="15" t="str">
        <f t="shared" si="14"/>
        <v>ジェネリンク(蒸気)暖房1990</v>
      </c>
      <c r="S37" s="10">
        <v>0.84</v>
      </c>
      <c r="U37" s="15">
        <v>1980</v>
      </c>
      <c r="V37" s="17">
        <v>1990</v>
      </c>
      <c r="X37" s="34">
        <v>6</v>
      </c>
      <c r="Y37" s="34" t="s">
        <v>205</v>
      </c>
      <c r="Z37" s="1" t="s">
        <v>211</v>
      </c>
      <c r="AA37" s="16" t="s">
        <v>218</v>
      </c>
      <c r="AB37" s="16" t="s">
        <v>218</v>
      </c>
      <c r="AC37" s="16" t="s">
        <v>218</v>
      </c>
      <c r="AE37" s="1">
        <v>4</v>
      </c>
      <c r="AF37" s="1" t="s">
        <v>5</v>
      </c>
      <c r="AG37" s="12" t="s">
        <v>0</v>
      </c>
      <c r="AH37" s="1" t="s">
        <v>120</v>
      </c>
      <c r="AI37" s="1" t="str">
        <f t="shared" si="10"/>
        <v>4冷房店舗導入予定設備</v>
      </c>
      <c r="AJ37" s="21">
        <v>0</v>
      </c>
      <c r="AK37" s="14">
        <v>0.96</v>
      </c>
      <c r="AL37" s="14">
        <v>1.07</v>
      </c>
      <c r="AM37" s="1">
        <v>-0.14000000000000001</v>
      </c>
      <c r="AN37" s="1">
        <v>1.1399999999999999</v>
      </c>
      <c r="AO37" s="13">
        <f t="shared" si="15"/>
        <v>1.1399999999999999</v>
      </c>
      <c r="AP37" s="14">
        <f t="shared" si="2"/>
        <v>0.96</v>
      </c>
    </row>
    <row r="38" spans="15:42">
      <c r="O38" s="1" t="s">
        <v>101</v>
      </c>
      <c r="P38" s="1" t="s">
        <v>1</v>
      </c>
      <c r="Q38" s="15">
        <v>2000</v>
      </c>
      <c r="R38" s="15" t="str">
        <f t="shared" si="14"/>
        <v>ジェネリンク(蒸気)暖房2000</v>
      </c>
      <c r="S38" s="10">
        <v>0.84</v>
      </c>
      <c r="U38" s="15">
        <v>1981</v>
      </c>
      <c r="V38" s="17">
        <v>1990</v>
      </c>
      <c r="X38" s="34">
        <v>7</v>
      </c>
      <c r="Y38" s="34" t="s">
        <v>205</v>
      </c>
      <c r="Z38" s="1" t="s">
        <v>212</v>
      </c>
      <c r="AA38" s="16" t="s">
        <v>218</v>
      </c>
      <c r="AB38" s="16" t="s">
        <v>218</v>
      </c>
      <c r="AC38" s="16" t="s">
        <v>218</v>
      </c>
      <c r="AE38" s="1">
        <v>4</v>
      </c>
      <c r="AF38" s="1" t="s">
        <v>6</v>
      </c>
      <c r="AG38" s="12" t="s">
        <v>0</v>
      </c>
      <c r="AH38" s="1" t="s">
        <v>117</v>
      </c>
      <c r="AI38" s="1" t="str">
        <f t="shared" si="10"/>
        <v>4冷房事務所既存設備</v>
      </c>
      <c r="AJ38" s="21">
        <v>0</v>
      </c>
      <c r="AK38" s="14">
        <v>0.93</v>
      </c>
      <c r="AL38" s="14">
        <v>1.03</v>
      </c>
      <c r="AM38" s="1">
        <v>-0.06</v>
      </c>
      <c r="AN38" s="1">
        <v>1.06</v>
      </c>
      <c r="AO38" s="13">
        <f t="shared" si="15"/>
        <v>1.06</v>
      </c>
      <c r="AP38" s="14">
        <f t="shared" si="2"/>
        <v>0.93</v>
      </c>
    </row>
    <row r="39" spans="15:42">
      <c r="O39" s="1" t="s">
        <v>101</v>
      </c>
      <c r="P39" s="1" t="s">
        <v>1</v>
      </c>
      <c r="Q39" s="15">
        <v>2010</v>
      </c>
      <c r="R39" s="15" t="str">
        <f t="shared" si="14"/>
        <v>ジェネリンク(蒸気)暖房2010</v>
      </c>
      <c r="S39" s="10">
        <v>0.87</v>
      </c>
      <c r="U39" s="15">
        <v>1982</v>
      </c>
      <c r="V39" s="17">
        <v>1990</v>
      </c>
      <c r="X39" s="34">
        <v>8</v>
      </c>
      <c r="Y39" s="34" t="s">
        <v>205</v>
      </c>
      <c r="Z39" s="1" t="s">
        <v>213</v>
      </c>
      <c r="AA39" s="16" t="s">
        <v>218</v>
      </c>
      <c r="AB39" s="16" t="s">
        <v>218</v>
      </c>
      <c r="AC39" s="16" t="s">
        <v>218</v>
      </c>
      <c r="AE39" s="1">
        <v>4</v>
      </c>
      <c r="AF39" s="1" t="s">
        <v>6</v>
      </c>
      <c r="AG39" s="12" t="s">
        <v>0</v>
      </c>
      <c r="AH39" s="1" t="s">
        <v>120</v>
      </c>
      <c r="AI39" s="1" t="str">
        <f t="shared" si="10"/>
        <v>4冷房事務所導入予定設備</v>
      </c>
      <c r="AJ39" s="21">
        <v>0</v>
      </c>
      <c r="AK39" s="14">
        <v>0.96</v>
      </c>
      <c r="AL39" s="14">
        <v>1.07</v>
      </c>
      <c r="AM39" s="1">
        <v>-0.14000000000000001</v>
      </c>
      <c r="AN39" s="1">
        <v>1.1399999999999999</v>
      </c>
      <c r="AO39" s="13">
        <f t="shared" si="15"/>
        <v>1.1399999999999999</v>
      </c>
      <c r="AP39" s="14">
        <f t="shared" si="2"/>
        <v>0.96</v>
      </c>
    </row>
    <row r="40" spans="15:42">
      <c r="U40" s="15">
        <v>1983</v>
      </c>
      <c r="V40" s="17">
        <v>1990</v>
      </c>
      <c r="X40" s="34">
        <v>9</v>
      </c>
      <c r="Y40" s="34" t="s">
        <v>205</v>
      </c>
      <c r="Z40" s="1" t="s">
        <v>214</v>
      </c>
      <c r="AA40" s="16" t="s">
        <v>218</v>
      </c>
      <c r="AB40" s="16" t="s">
        <v>218</v>
      </c>
      <c r="AC40" s="16" t="s">
        <v>218</v>
      </c>
      <c r="AE40" s="1">
        <v>5</v>
      </c>
      <c r="AF40" s="1" t="s">
        <v>5</v>
      </c>
      <c r="AG40" s="22" t="s">
        <v>1</v>
      </c>
      <c r="AH40" s="1" t="s">
        <v>117</v>
      </c>
      <c r="AI40" s="1" t="str">
        <f t="shared" si="10"/>
        <v>5暖房店舗既存設備</v>
      </c>
      <c r="AJ40" s="21">
        <v>0</v>
      </c>
      <c r="AK40" s="14">
        <v>0.9</v>
      </c>
      <c r="AL40" s="14">
        <v>1</v>
      </c>
      <c r="AM40" s="1"/>
      <c r="AN40" s="1"/>
      <c r="AO40" s="14">
        <v>1</v>
      </c>
      <c r="AP40" s="14">
        <f t="shared" si="2"/>
        <v>0.9</v>
      </c>
    </row>
    <row r="41" spans="15:42">
      <c r="U41" s="15">
        <v>1984</v>
      </c>
      <c r="V41" s="17">
        <v>1990</v>
      </c>
      <c r="X41" s="34">
        <v>10</v>
      </c>
      <c r="Y41" s="34" t="s">
        <v>205</v>
      </c>
      <c r="Z41" s="1" t="s">
        <v>215</v>
      </c>
      <c r="AA41" s="16" t="s">
        <v>218</v>
      </c>
      <c r="AB41" s="16" t="s">
        <v>218</v>
      </c>
      <c r="AC41" s="16" t="s">
        <v>218</v>
      </c>
      <c r="AE41" s="1">
        <v>5</v>
      </c>
      <c r="AF41" s="1" t="s">
        <v>5</v>
      </c>
      <c r="AG41" s="22" t="s">
        <v>1</v>
      </c>
      <c r="AH41" s="1" t="s">
        <v>120</v>
      </c>
      <c r="AI41" s="1" t="str">
        <f t="shared" si="10"/>
        <v>5暖房店舗導入予定設備</v>
      </c>
      <c r="AJ41" s="21">
        <v>0</v>
      </c>
      <c r="AK41" s="14">
        <v>0.9</v>
      </c>
      <c r="AL41" s="14">
        <v>1</v>
      </c>
      <c r="AM41" s="1"/>
      <c r="AN41" s="1"/>
      <c r="AO41" s="14">
        <v>1</v>
      </c>
      <c r="AP41" s="14">
        <f t="shared" si="2"/>
        <v>0.9</v>
      </c>
    </row>
    <row r="42" spans="15:42">
      <c r="U42" s="15">
        <v>1985</v>
      </c>
      <c r="V42" s="17">
        <v>1990</v>
      </c>
      <c r="X42" s="34">
        <v>11</v>
      </c>
      <c r="Y42" s="34" t="s">
        <v>205</v>
      </c>
      <c r="Z42" s="1" t="s">
        <v>216</v>
      </c>
      <c r="AA42" s="16" t="s">
        <v>218</v>
      </c>
      <c r="AB42" s="16" t="s">
        <v>218</v>
      </c>
      <c r="AC42" s="16" t="s">
        <v>218</v>
      </c>
      <c r="AE42" s="1">
        <v>5</v>
      </c>
      <c r="AF42" s="1" t="s">
        <v>6</v>
      </c>
      <c r="AG42" s="22" t="s">
        <v>1</v>
      </c>
      <c r="AH42" s="1" t="s">
        <v>117</v>
      </c>
      <c r="AI42" s="1" t="str">
        <f t="shared" si="10"/>
        <v>5暖房事務所既存設備</v>
      </c>
      <c r="AJ42" s="21">
        <v>0</v>
      </c>
      <c r="AK42" s="14">
        <v>0.9</v>
      </c>
      <c r="AL42" s="14">
        <v>1</v>
      </c>
      <c r="AM42" s="1"/>
      <c r="AN42" s="1"/>
      <c r="AO42" s="14">
        <v>1</v>
      </c>
      <c r="AP42" s="14">
        <f t="shared" si="2"/>
        <v>0.9</v>
      </c>
    </row>
    <row r="43" spans="15:42">
      <c r="U43" s="15">
        <v>1986</v>
      </c>
      <c r="V43" s="17">
        <v>1990</v>
      </c>
      <c r="X43" s="34">
        <v>12</v>
      </c>
      <c r="Y43" s="34" t="s">
        <v>205</v>
      </c>
      <c r="Z43" s="1" t="s">
        <v>217</v>
      </c>
      <c r="AA43" s="16" t="s">
        <v>218</v>
      </c>
      <c r="AB43" s="16" t="s">
        <v>218</v>
      </c>
      <c r="AC43" s="16" t="s">
        <v>218</v>
      </c>
      <c r="AE43" s="1">
        <v>5</v>
      </c>
      <c r="AF43" s="1" t="s">
        <v>6</v>
      </c>
      <c r="AG43" s="22" t="s">
        <v>1</v>
      </c>
      <c r="AH43" s="1" t="s">
        <v>120</v>
      </c>
      <c r="AI43" s="1" t="str">
        <f t="shared" si="10"/>
        <v>5暖房事務所導入予定設備</v>
      </c>
      <c r="AJ43" s="21">
        <v>0</v>
      </c>
      <c r="AK43" s="14">
        <v>0.9</v>
      </c>
      <c r="AL43" s="14">
        <v>1</v>
      </c>
      <c r="AM43" s="1"/>
      <c r="AN43" s="1"/>
      <c r="AO43" s="14">
        <v>1</v>
      </c>
      <c r="AP43" s="14">
        <f t="shared" si="2"/>
        <v>0.9</v>
      </c>
    </row>
    <row r="44" spans="15:42">
      <c r="U44" s="15">
        <v>1987</v>
      </c>
      <c r="V44" s="17">
        <v>1990</v>
      </c>
      <c r="AA44" s="16"/>
      <c r="AB44" s="16"/>
      <c r="AC44" s="16"/>
      <c r="AE44" s="1">
        <v>5</v>
      </c>
      <c r="AF44" s="1" t="s">
        <v>5</v>
      </c>
      <c r="AG44" s="12" t="s">
        <v>0</v>
      </c>
      <c r="AH44" s="1" t="s">
        <v>117</v>
      </c>
      <c r="AI44" s="1" t="str">
        <f t="shared" si="10"/>
        <v>5冷房店舗既存設備</v>
      </c>
      <c r="AJ44" s="21">
        <v>0.29599999999999999</v>
      </c>
      <c r="AK44" s="14">
        <v>0.93</v>
      </c>
      <c r="AL44" s="14">
        <v>1.03</v>
      </c>
      <c r="AM44" s="1">
        <v>-0.06</v>
      </c>
      <c r="AN44" s="1">
        <v>1.06</v>
      </c>
      <c r="AO44" s="13">
        <f t="shared" ref="AO44:AO47" si="16">ROUNDDOWN(AM44*AJ44+AN44,2)</f>
        <v>1.04</v>
      </c>
      <c r="AP44" s="14">
        <f t="shared" si="2"/>
        <v>0.93</v>
      </c>
    </row>
    <row r="45" spans="15:42">
      <c r="U45" s="15">
        <v>1988</v>
      </c>
      <c r="V45" s="17">
        <v>1990</v>
      </c>
      <c r="AA45" s="16"/>
      <c r="AB45" s="16"/>
      <c r="AC45" s="16"/>
      <c r="AE45" s="1">
        <v>5</v>
      </c>
      <c r="AF45" s="1" t="s">
        <v>5</v>
      </c>
      <c r="AG45" s="12" t="s">
        <v>0</v>
      </c>
      <c r="AH45" s="1" t="s">
        <v>120</v>
      </c>
      <c r="AI45" s="1" t="str">
        <f t="shared" si="10"/>
        <v>5冷房店舗導入予定設備</v>
      </c>
      <c r="AJ45" s="21">
        <v>0.29599999999999999</v>
      </c>
      <c r="AK45" s="14">
        <v>0.96</v>
      </c>
      <c r="AL45" s="14">
        <v>1.07</v>
      </c>
      <c r="AM45" s="1">
        <v>-0.14000000000000001</v>
      </c>
      <c r="AN45" s="1">
        <v>1.1399999999999999</v>
      </c>
      <c r="AO45" s="13">
        <f t="shared" si="16"/>
        <v>1.0900000000000001</v>
      </c>
      <c r="AP45" s="14">
        <f t="shared" si="2"/>
        <v>0.96</v>
      </c>
    </row>
    <row r="46" spans="15:42">
      <c r="U46" s="15">
        <v>1989</v>
      </c>
      <c r="V46" s="17">
        <v>1990</v>
      </c>
      <c r="AA46" s="16"/>
      <c r="AB46" s="16"/>
      <c r="AC46" s="16"/>
      <c r="AE46" s="1">
        <v>5</v>
      </c>
      <c r="AF46" s="1" t="s">
        <v>6</v>
      </c>
      <c r="AG46" s="12" t="s">
        <v>0</v>
      </c>
      <c r="AH46" s="1" t="s">
        <v>117</v>
      </c>
      <c r="AI46" s="1" t="str">
        <f t="shared" si="10"/>
        <v>5冷房事務所既存設備</v>
      </c>
      <c r="AJ46" s="21">
        <v>0.104</v>
      </c>
      <c r="AK46" s="14">
        <v>0.93</v>
      </c>
      <c r="AL46" s="14">
        <v>1.03</v>
      </c>
      <c r="AM46" s="1">
        <v>-0.06</v>
      </c>
      <c r="AN46" s="1">
        <v>1.06</v>
      </c>
      <c r="AO46" s="13">
        <f t="shared" si="16"/>
        <v>1.05</v>
      </c>
      <c r="AP46" s="14">
        <f t="shared" si="2"/>
        <v>0.93</v>
      </c>
    </row>
    <row r="47" spans="15:42">
      <c r="U47" s="15">
        <v>1990</v>
      </c>
      <c r="V47" s="17">
        <v>1990</v>
      </c>
      <c r="AA47" s="16"/>
      <c r="AB47" s="16"/>
      <c r="AC47" s="16"/>
      <c r="AE47" s="1">
        <v>5</v>
      </c>
      <c r="AF47" s="1" t="s">
        <v>6</v>
      </c>
      <c r="AG47" s="12" t="s">
        <v>0</v>
      </c>
      <c r="AH47" s="1" t="s">
        <v>120</v>
      </c>
      <c r="AI47" s="1" t="str">
        <f t="shared" si="10"/>
        <v>5冷房事務所導入予定設備</v>
      </c>
      <c r="AJ47" s="21">
        <v>0.104</v>
      </c>
      <c r="AK47" s="14">
        <v>0.96</v>
      </c>
      <c r="AL47" s="14">
        <v>1.07</v>
      </c>
      <c r="AM47" s="1">
        <v>-0.14000000000000001</v>
      </c>
      <c r="AN47" s="1">
        <v>1.1399999999999999</v>
      </c>
      <c r="AO47" s="13">
        <f t="shared" si="16"/>
        <v>1.1200000000000001</v>
      </c>
      <c r="AP47" s="14">
        <f t="shared" si="2"/>
        <v>0.96</v>
      </c>
    </row>
    <row r="48" spans="15:42">
      <c r="U48" s="15">
        <v>1991</v>
      </c>
      <c r="V48" s="17">
        <v>1990</v>
      </c>
      <c r="AA48" s="16"/>
      <c r="AB48" s="16"/>
      <c r="AC48" s="16"/>
      <c r="AE48" s="1">
        <v>6</v>
      </c>
      <c r="AF48" s="1" t="s">
        <v>5</v>
      </c>
      <c r="AG48" s="22" t="s">
        <v>1</v>
      </c>
      <c r="AH48" s="1" t="s">
        <v>117</v>
      </c>
      <c r="AI48" s="1" t="str">
        <f t="shared" si="10"/>
        <v>6暖房店舗既存設備</v>
      </c>
      <c r="AJ48" s="21">
        <v>0</v>
      </c>
      <c r="AK48" s="14">
        <v>0.9</v>
      </c>
      <c r="AL48" s="14">
        <v>1</v>
      </c>
      <c r="AM48" s="1"/>
      <c r="AN48" s="1"/>
      <c r="AO48" s="14">
        <v>1</v>
      </c>
      <c r="AP48" s="14">
        <f t="shared" si="2"/>
        <v>0.9</v>
      </c>
    </row>
    <row r="49" spans="21:42">
      <c r="U49" s="15">
        <v>1992</v>
      </c>
      <c r="V49" s="17">
        <v>1990</v>
      </c>
      <c r="AA49" s="16"/>
      <c r="AB49" s="16"/>
      <c r="AC49" s="16"/>
      <c r="AE49" s="1">
        <v>6</v>
      </c>
      <c r="AF49" s="1" t="s">
        <v>5</v>
      </c>
      <c r="AG49" s="22" t="s">
        <v>1</v>
      </c>
      <c r="AH49" s="1" t="s">
        <v>120</v>
      </c>
      <c r="AI49" s="1" t="str">
        <f t="shared" si="10"/>
        <v>6暖房店舗導入予定設備</v>
      </c>
      <c r="AJ49" s="21">
        <v>0</v>
      </c>
      <c r="AK49" s="14">
        <v>0.9</v>
      </c>
      <c r="AL49" s="14">
        <v>1</v>
      </c>
      <c r="AM49" s="1"/>
      <c r="AN49" s="1"/>
      <c r="AO49" s="14">
        <v>1</v>
      </c>
      <c r="AP49" s="14">
        <f t="shared" si="2"/>
        <v>0.9</v>
      </c>
    </row>
    <row r="50" spans="21:42">
      <c r="U50" s="15">
        <v>1993</v>
      </c>
      <c r="V50" s="17">
        <v>1990</v>
      </c>
      <c r="AA50" s="16"/>
      <c r="AB50" s="16"/>
      <c r="AC50" s="16"/>
      <c r="AE50" s="1">
        <v>6</v>
      </c>
      <c r="AF50" s="1" t="s">
        <v>6</v>
      </c>
      <c r="AG50" s="22" t="s">
        <v>1</v>
      </c>
      <c r="AH50" s="1" t="s">
        <v>117</v>
      </c>
      <c r="AI50" s="1" t="str">
        <f t="shared" si="10"/>
        <v>6暖房事務所既存設備</v>
      </c>
      <c r="AJ50" s="21">
        <v>0</v>
      </c>
      <c r="AK50" s="14">
        <v>0.9</v>
      </c>
      <c r="AL50" s="14">
        <v>1</v>
      </c>
      <c r="AM50" s="1"/>
      <c r="AN50" s="1"/>
      <c r="AO50" s="14">
        <v>1</v>
      </c>
      <c r="AP50" s="14">
        <f t="shared" si="2"/>
        <v>0.9</v>
      </c>
    </row>
    <row r="51" spans="21:42">
      <c r="U51" s="15">
        <v>1994</v>
      </c>
      <c r="V51" s="17">
        <v>1990</v>
      </c>
      <c r="AA51" s="16"/>
      <c r="AB51" s="16"/>
      <c r="AC51" s="16"/>
      <c r="AE51" s="1">
        <v>6</v>
      </c>
      <c r="AF51" s="1" t="s">
        <v>6</v>
      </c>
      <c r="AG51" s="22" t="s">
        <v>1</v>
      </c>
      <c r="AH51" s="1" t="s">
        <v>120</v>
      </c>
      <c r="AI51" s="1" t="str">
        <f t="shared" si="10"/>
        <v>6暖房事務所導入予定設備</v>
      </c>
      <c r="AJ51" s="21">
        <v>0</v>
      </c>
      <c r="AK51" s="14">
        <v>0.9</v>
      </c>
      <c r="AL51" s="14">
        <v>1</v>
      </c>
      <c r="AM51" s="1"/>
      <c r="AN51" s="1"/>
      <c r="AO51" s="14">
        <v>1</v>
      </c>
      <c r="AP51" s="14">
        <f t="shared" si="2"/>
        <v>0.9</v>
      </c>
    </row>
    <row r="52" spans="21:42">
      <c r="U52" s="15">
        <v>1995</v>
      </c>
      <c r="V52" s="17">
        <v>2000</v>
      </c>
      <c r="AA52" s="16"/>
      <c r="AB52" s="16"/>
      <c r="AC52" s="16"/>
      <c r="AE52" s="1">
        <v>6</v>
      </c>
      <c r="AF52" s="1" t="s">
        <v>5</v>
      </c>
      <c r="AG52" s="12" t="s">
        <v>0</v>
      </c>
      <c r="AH52" s="1" t="s">
        <v>117</v>
      </c>
      <c r="AI52" s="1" t="str">
        <f t="shared" si="10"/>
        <v>6冷房店舗既存設備</v>
      </c>
      <c r="AJ52" s="21">
        <v>0.435</v>
      </c>
      <c r="AK52" s="14">
        <v>0.93</v>
      </c>
      <c r="AL52" s="14">
        <v>1.03</v>
      </c>
      <c r="AM52" s="1">
        <v>-0.06</v>
      </c>
      <c r="AN52" s="1">
        <v>1.06</v>
      </c>
      <c r="AO52" s="13">
        <f t="shared" ref="AO52:AO55" si="17">ROUNDDOWN(AM52*AJ52+AN52,2)</f>
        <v>1.03</v>
      </c>
      <c r="AP52" s="14">
        <f t="shared" si="2"/>
        <v>1.03</v>
      </c>
    </row>
    <row r="53" spans="21:42">
      <c r="U53" s="15">
        <v>1996</v>
      </c>
      <c r="V53" s="17">
        <v>2000</v>
      </c>
      <c r="AA53" s="16"/>
      <c r="AB53" s="16"/>
      <c r="AC53" s="16"/>
      <c r="AE53" s="1">
        <v>6</v>
      </c>
      <c r="AF53" s="1" t="s">
        <v>5</v>
      </c>
      <c r="AG53" s="12" t="s">
        <v>0</v>
      </c>
      <c r="AH53" s="1" t="s">
        <v>120</v>
      </c>
      <c r="AI53" s="1" t="str">
        <f t="shared" si="10"/>
        <v>6冷房店舗導入予定設備</v>
      </c>
      <c r="AJ53" s="21">
        <v>0.435</v>
      </c>
      <c r="AK53" s="14">
        <v>0.96</v>
      </c>
      <c r="AL53" s="14">
        <v>1.07</v>
      </c>
      <c r="AM53" s="1">
        <v>-0.14000000000000001</v>
      </c>
      <c r="AN53" s="1">
        <v>1.1399999999999999</v>
      </c>
      <c r="AO53" s="13">
        <f t="shared" si="17"/>
        <v>1.07</v>
      </c>
      <c r="AP53" s="14">
        <f t="shared" si="2"/>
        <v>1.07</v>
      </c>
    </row>
    <row r="54" spans="21:42">
      <c r="U54" s="15">
        <v>1997</v>
      </c>
      <c r="V54" s="17">
        <v>2000</v>
      </c>
      <c r="AA54" s="16"/>
      <c r="AB54" s="16"/>
      <c r="AC54" s="16"/>
      <c r="AE54" s="1">
        <v>6</v>
      </c>
      <c r="AF54" s="1" t="s">
        <v>6</v>
      </c>
      <c r="AG54" s="12" t="s">
        <v>0</v>
      </c>
      <c r="AH54" s="1" t="s">
        <v>117</v>
      </c>
      <c r="AI54" s="1" t="str">
        <f t="shared" si="10"/>
        <v>6冷房事務所既存設備</v>
      </c>
      <c r="AJ54" s="21">
        <v>0.40200000000000002</v>
      </c>
      <c r="AK54" s="14">
        <v>0.93</v>
      </c>
      <c r="AL54" s="14">
        <v>1.03</v>
      </c>
      <c r="AM54" s="1">
        <v>-0.06</v>
      </c>
      <c r="AN54" s="1">
        <v>1.06</v>
      </c>
      <c r="AO54" s="13">
        <f t="shared" si="17"/>
        <v>1.03</v>
      </c>
      <c r="AP54" s="14">
        <f t="shared" si="2"/>
        <v>1.03</v>
      </c>
    </row>
    <row r="55" spans="21:42">
      <c r="U55" s="15">
        <v>1998</v>
      </c>
      <c r="V55" s="17">
        <v>2000</v>
      </c>
      <c r="AA55" s="16"/>
      <c r="AB55" s="16"/>
      <c r="AC55" s="16"/>
      <c r="AE55" s="1">
        <v>6</v>
      </c>
      <c r="AF55" s="1" t="s">
        <v>6</v>
      </c>
      <c r="AG55" s="12" t="s">
        <v>0</v>
      </c>
      <c r="AH55" s="1" t="s">
        <v>120</v>
      </c>
      <c r="AI55" s="1" t="str">
        <f t="shared" si="10"/>
        <v>6冷房事務所導入予定設備</v>
      </c>
      <c r="AJ55" s="21">
        <v>0.40200000000000002</v>
      </c>
      <c r="AK55" s="14">
        <v>0.96</v>
      </c>
      <c r="AL55" s="14">
        <v>1.07</v>
      </c>
      <c r="AM55" s="1">
        <v>-0.14000000000000001</v>
      </c>
      <c r="AN55" s="1">
        <v>1.1399999999999999</v>
      </c>
      <c r="AO55" s="13">
        <f t="shared" si="17"/>
        <v>1.08</v>
      </c>
      <c r="AP55" s="14">
        <f t="shared" si="2"/>
        <v>1.07</v>
      </c>
    </row>
    <row r="56" spans="21:42">
      <c r="U56" s="15">
        <v>1999</v>
      </c>
      <c r="V56" s="17">
        <v>2000</v>
      </c>
      <c r="AA56" s="16"/>
      <c r="AB56" s="16"/>
      <c r="AC56" s="16"/>
      <c r="AE56" s="1">
        <v>7</v>
      </c>
      <c r="AF56" s="1" t="s">
        <v>5</v>
      </c>
      <c r="AG56" s="22" t="s">
        <v>1</v>
      </c>
      <c r="AH56" s="1" t="s">
        <v>117</v>
      </c>
      <c r="AI56" s="1" t="str">
        <f t="shared" si="10"/>
        <v>7暖房店舗既存設備</v>
      </c>
      <c r="AJ56" s="21">
        <v>0</v>
      </c>
      <c r="AK56" s="14">
        <v>0.9</v>
      </c>
      <c r="AL56" s="14">
        <v>1</v>
      </c>
      <c r="AM56" s="1"/>
      <c r="AN56" s="1"/>
      <c r="AO56" s="14">
        <v>1</v>
      </c>
      <c r="AP56" s="14">
        <f t="shared" si="2"/>
        <v>0.9</v>
      </c>
    </row>
    <row r="57" spans="21:42">
      <c r="U57" s="15">
        <v>2000</v>
      </c>
      <c r="V57" s="17">
        <v>2000</v>
      </c>
      <c r="AA57" s="16"/>
      <c r="AB57" s="16"/>
      <c r="AC57" s="16"/>
      <c r="AE57" s="1">
        <v>7</v>
      </c>
      <c r="AF57" s="1" t="s">
        <v>5</v>
      </c>
      <c r="AG57" s="22" t="s">
        <v>1</v>
      </c>
      <c r="AH57" s="1" t="s">
        <v>120</v>
      </c>
      <c r="AI57" s="1" t="str">
        <f t="shared" si="10"/>
        <v>7暖房店舗導入予定設備</v>
      </c>
      <c r="AJ57" s="21">
        <v>0</v>
      </c>
      <c r="AK57" s="14">
        <v>0.9</v>
      </c>
      <c r="AL57" s="14">
        <v>1</v>
      </c>
      <c r="AM57" s="1"/>
      <c r="AN57" s="1"/>
      <c r="AO57" s="14">
        <v>1</v>
      </c>
      <c r="AP57" s="14">
        <f t="shared" si="2"/>
        <v>0.9</v>
      </c>
    </row>
    <row r="58" spans="21:42">
      <c r="U58" s="15">
        <v>2001</v>
      </c>
      <c r="V58" s="17">
        <v>2000</v>
      </c>
      <c r="AA58" s="16"/>
      <c r="AB58" s="16"/>
      <c r="AC58" s="16"/>
      <c r="AE58" s="1">
        <v>7</v>
      </c>
      <c r="AF58" s="1" t="s">
        <v>6</v>
      </c>
      <c r="AG58" s="22" t="s">
        <v>1</v>
      </c>
      <c r="AH58" s="1" t="s">
        <v>117</v>
      </c>
      <c r="AI58" s="1" t="str">
        <f t="shared" si="10"/>
        <v>7暖房事務所既存設備</v>
      </c>
      <c r="AJ58" s="21">
        <v>0</v>
      </c>
      <c r="AK58" s="14">
        <v>0.9</v>
      </c>
      <c r="AL58" s="14">
        <v>1</v>
      </c>
      <c r="AM58" s="1"/>
      <c r="AN58" s="1"/>
      <c r="AO58" s="14">
        <v>1</v>
      </c>
      <c r="AP58" s="14">
        <f t="shared" si="2"/>
        <v>0.9</v>
      </c>
    </row>
    <row r="59" spans="21:42">
      <c r="U59" s="15">
        <v>2002</v>
      </c>
      <c r="V59" s="17">
        <v>2000</v>
      </c>
      <c r="AA59" s="16"/>
      <c r="AB59" s="16"/>
      <c r="AC59" s="16"/>
      <c r="AE59" s="1">
        <v>7</v>
      </c>
      <c r="AF59" s="1" t="s">
        <v>6</v>
      </c>
      <c r="AG59" s="22" t="s">
        <v>1</v>
      </c>
      <c r="AH59" s="1" t="s">
        <v>120</v>
      </c>
      <c r="AI59" s="1" t="str">
        <f t="shared" si="10"/>
        <v>7暖房事務所導入予定設備</v>
      </c>
      <c r="AJ59" s="21">
        <v>0</v>
      </c>
      <c r="AK59" s="14">
        <v>0.9</v>
      </c>
      <c r="AL59" s="14">
        <v>1</v>
      </c>
      <c r="AM59" s="1"/>
      <c r="AN59" s="1"/>
      <c r="AO59" s="14">
        <v>1</v>
      </c>
      <c r="AP59" s="14">
        <f t="shared" si="2"/>
        <v>0.9</v>
      </c>
    </row>
    <row r="60" spans="21:42">
      <c r="U60" s="15">
        <v>2003</v>
      </c>
      <c r="V60" s="17">
        <v>2000</v>
      </c>
      <c r="AA60" s="16"/>
      <c r="AB60" s="16"/>
      <c r="AC60" s="16"/>
      <c r="AE60" s="1">
        <v>7</v>
      </c>
      <c r="AF60" s="1" t="s">
        <v>5</v>
      </c>
      <c r="AG60" s="12" t="s">
        <v>0</v>
      </c>
      <c r="AH60" s="1" t="s">
        <v>117</v>
      </c>
      <c r="AI60" s="1" t="str">
        <f t="shared" si="10"/>
        <v>7冷房店舗既存設備</v>
      </c>
      <c r="AJ60" s="21">
        <v>0.64100000000000001</v>
      </c>
      <c r="AK60" s="14">
        <v>0.93</v>
      </c>
      <c r="AL60" s="14">
        <v>1.03</v>
      </c>
      <c r="AM60" s="1">
        <v>-0.06</v>
      </c>
      <c r="AN60" s="1">
        <v>1.06</v>
      </c>
      <c r="AO60" s="13">
        <f t="shared" ref="AO60:AO63" si="18">ROUNDDOWN(AM60*AJ60+AN60,2)</f>
        <v>1.02</v>
      </c>
      <c r="AP60" s="14">
        <f t="shared" si="2"/>
        <v>1.02</v>
      </c>
    </row>
    <row r="61" spans="21:42">
      <c r="U61" s="15">
        <v>2004</v>
      </c>
      <c r="V61" s="17">
        <v>2000</v>
      </c>
      <c r="AA61" s="16"/>
      <c r="AB61" s="16"/>
      <c r="AC61" s="16"/>
      <c r="AE61" s="1">
        <v>7</v>
      </c>
      <c r="AF61" s="1" t="s">
        <v>5</v>
      </c>
      <c r="AG61" s="12" t="s">
        <v>0</v>
      </c>
      <c r="AH61" s="1" t="s">
        <v>120</v>
      </c>
      <c r="AI61" s="1" t="str">
        <f t="shared" si="10"/>
        <v>7冷房店舗導入予定設備</v>
      </c>
      <c r="AJ61" s="21">
        <v>0.64100000000000001</v>
      </c>
      <c r="AK61" s="14">
        <v>0.96</v>
      </c>
      <c r="AL61" s="14">
        <v>1.07</v>
      </c>
      <c r="AM61" s="1">
        <v>-0.14000000000000001</v>
      </c>
      <c r="AN61" s="1">
        <v>1.1399999999999999</v>
      </c>
      <c r="AO61" s="13">
        <f t="shared" si="18"/>
        <v>1.05</v>
      </c>
      <c r="AP61" s="14">
        <f t="shared" si="2"/>
        <v>1.05</v>
      </c>
    </row>
    <row r="62" spans="21:42">
      <c r="U62" s="15">
        <v>2005</v>
      </c>
      <c r="V62" s="17">
        <v>2010</v>
      </c>
      <c r="AA62" s="16"/>
      <c r="AB62" s="16"/>
      <c r="AC62" s="16"/>
      <c r="AE62" s="1">
        <v>7</v>
      </c>
      <c r="AF62" s="1" t="s">
        <v>6</v>
      </c>
      <c r="AG62" s="12" t="s">
        <v>0</v>
      </c>
      <c r="AH62" s="1" t="s">
        <v>117</v>
      </c>
      <c r="AI62" s="1" t="str">
        <f t="shared" si="10"/>
        <v>7冷房事務所既存設備</v>
      </c>
      <c r="AJ62" s="21">
        <v>0.68600000000000005</v>
      </c>
      <c r="AK62" s="14">
        <v>0.93</v>
      </c>
      <c r="AL62" s="14">
        <v>1.03</v>
      </c>
      <c r="AM62" s="1">
        <v>-0.06</v>
      </c>
      <c r="AN62" s="1">
        <v>1.06</v>
      </c>
      <c r="AO62" s="13">
        <f t="shared" si="18"/>
        <v>1.01</v>
      </c>
      <c r="AP62" s="14">
        <f t="shared" si="2"/>
        <v>1.01</v>
      </c>
    </row>
    <row r="63" spans="21:42">
      <c r="U63" s="15">
        <v>2006</v>
      </c>
      <c r="V63" s="17">
        <v>2010</v>
      </c>
      <c r="AA63" s="16"/>
      <c r="AB63" s="16"/>
      <c r="AC63" s="16"/>
      <c r="AE63" s="1">
        <v>7</v>
      </c>
      <c r="AF63" s="1" t="s">
        <v>6</v>
      </c>
      <c r="AG63" s="12" t="s">
        <v>0</v>
      </c>
      <c r="AH63" s="1" t="s">
        <v>120</v>
      </c>
      <c r="AI63" s="1" t="str">
        <f t="shared" si="10"/>
        <v>7冷房事務所導入予定設備</v>
      </c>
      <c r="AJ63" s="21">
        <v>0.68600000000000005</v>
      </c>
      <c r="AK63" s="14">
        <v>0.96</v>
      </c>
      <c r="AL63" s="14">
        <v>1.07</v>
      </c>
      <c r="AM63" s="1">
        <v>-0.14000000000000001</v>
      </c>
      <c r="AN63" s="1">
        <v>1.1399999999999999</v>
      </c>
      <c r="AO63" s="13">
        <f t="shared" si="18"/>
        <v>1.04</v>
      </c>
      <c r="AP63" s="14">
        <f t="shared" si="2"/>
        <v>1.04</v>
      </c>
    </row>
    <row r="64" spans="21:42">
      <c r="U64" s="15">
        <v>2007</v>
      </c>
      <c r="V64" s="17">
        <v>2010</v>
      </c>
      <c r="AE64" s="1">
        <v>8</v>
      </c>
      <c r="AF64" s="1" t="s">
        <v>5</v>
      </c>
      <c r="AG64" s="22" t="s">
        <v>1</v>
      </c>
      <c r="AH64" s="1" t="s">
        <v>117</v>
      </c>
      <c r="AI64" s="1" t="str">
        <f t="shared" si="10"/>
        <v>8暖房店舗既存設備</v>
      </c>
      <c r="AJ64" s="21">
        <v>0</v>
      </c>
      <c r="AK64" s="14">
        <v>0.9</v>
      </c>
      <c r="AL64" s="14">
        <v>1</v>
      </c>
      <c r="AM64" s="1"/>
      <c r="AN64" s="1"/>
      <c r="AO64" s="14">
        <v>1</v>
      </c>
      <c r="AP64" s="14">
        <f t="shared" si="2"/>
        <v>0.9</v>
      </c>
    </row>
    <row r="65" spans="21:42">
      <c r="U65" s="15">
        <v>2008</v>
      </c>
      <c r="V65" s="17">
        <v>2010</v>
      </c>
      <c r="AE65" s="1">
        <v>8</v>
      </c>
      <c r="AF65" s="1" t="s">
        <v>5</v>
      </c>
      <c r="AG65" s="22" t="s">
        <v>1</v>
      </c>
      <c r="AH65" s="1" t="s">
        <v>120</v>
      </c>
      <c r="AI65" s="1" t="str">
        <f t="shared" si="10"/>
        <v>8暖房店舗導入予定設備</v>
      </c>
      <c r="AJ65" s="21">
        <v>0</v>
      </c>
      <c r="AK65" s="14">
        <v>0.9</v>
      </c>
      <c r="AL65" s="14">
        <v>1</v>
      </c>
      <c r="AM65" s="1"/>
      <c r="AN65" s="1"/>
      <c r="AO65" s="14">
        <v>1</v>
      </c>
      <c r="AP65" s="14">
        <f t="shared" si="2"/>
        <v>0.9</v>
      </c>
    </row>
    <row r="66" spans="21:42">
      <c r="U66" s="15">
        <v>2009</v>
      </c>
      <c r="V66" s="17">
        <v>2010</v>
      </c>
      <c r="AE66" s="1">
        <v>8</v>
      </c>
      <c r="AF66" s="1" t="s">
        <v>6</v>
      </c>
      <c r="AG66" s="22" t="s">
        <v>1</v>
      </c>
      <c r="AH66" s="1" t="s">
        <v>117</v>
      </c>
      <c r="AI66" s="1" t="str">
        <f t="shared" si="10"/>
        <v>8暖房事務所既存設備</v>
      </c>
      <c r="AJ66" s="21">
        <v>0</v>
      </c>
      <c r="AK66" s="14">
        <v>0.9</v>
      </c>
      <c r="AL66" s="14">
        <v>1</v>
      </c>
      <c r="AM66" s="1"/>
      <c r="AN66" s="1"/>
      <c r="AO66" s="14">
        <v>1</v>
      </c>
      <c r="AP66" s="14">
        <f t="shared" si="2"/>
        <v>0.9</v>
      </c>
    </row>
    <row r="67" spans="21:42">
      <c r="U67" s="15">
        <v>2010</v>
      </c>
      <c r="V67" s="17">
        <v>2010</v>
      </c>
      <c r="AE67" s="1">
        <v>8</v>
      </c>
      <c r="AF67" s="1" t="s">
        <v>6</v>
      </c>
      <c r="AG67" s="22" t="s">
        <v>1</v>
      </c>
      <c r="AH67" s="1" t="s">
        <v>120</v>
      </c>
      <c r="AI67" s="1" t="str">
        <f t="shared" si="10"/>
        <v>8暖房事務所導入予定設備</v>
      </c>
      <c r="AJ67" s="21">
        <v>0</v>
      </c>
      <c r="AK67" s="14">
        <v>0.9</v>
      </c>
      <c r="AL67" s="14">
        <v>1</v>
      </c>
      <c r="AM67" s="1"/>
      <c r="AN67" s="1"/>
      <c r="AO67" s="14">
        <v>1</v>
      </c>
      <c r="AP67" s="14">
        <f t="shared" si="2"/>
        <v>0.9</v>
      </c>
    </row>
    <row r="68" spans="21:42">
      <c r="U68" s="15">
        <v>2011</v>
      </c>
      <c r="V68" s="17">
        <v>2010</v>
      </c>
      <c r="AE68" s="1">
        <v>8</v>
      </c>
      <c r="AF68" s="1" t="s">
        <v>5</v>
      </c>
      <c r="AG68" s="12" t="s">
        <v>0</v>
      </c>
      <c r="AH68" s="1" t="s">
        <v>117</v>
      </c>
      <c r="AI68" s="1" t="str">
        <f t="shared" si="10"/>
        <v>8冷房店舗既存設備</v>
      </c>
      <c r="AJ68" s="21">
        <v>0.69299999999999995</v>
      </c>
      <c r="AK68" s="14">
        <v>0.93</v>
      </c>
      <c r="AL68" s="14">
        <v>1.03</v>
      </c>
      <c r="AM68" s="1">
        <v>-0.06</v>
      </c>
      <c r="AN68" s="1">
        <v>1.06</v>
      </c>
      <c r="AO68" s="13">
        <f t="shared" ref="AO68:AO71" si="19">ROUNDDOWN(AM68*AJ68+AN68,2)</f>
        <v>1.01</v>
      </c>
      <c r="AP68" s="14">
        <f t="shared" si="2"/>
        <v>1.01</v>
      </c>
    </row>
    <row r="69" spans="21:42">
      <c r="U69" s="15">
        <v>2012</v>
      </c>
      <c r="V69" s="17">
        <v>2010</v>
      </c>
      <c r="AE69" s="1">
        <v>8</v>
      </c>
      <c r="AF69" s="1" t="s">
        <v>5</v>
      </c>
      <c r="AG69" s="12" t="s">
        <v>0</v>
      </c>
      <c r="AH69" s="1" t="s">
        <v>120</v>
      </c>
      <c r="AI69" s="1" t="str">
        <f t="shared" si="10"/>
        <v>8冷房店舗導入予定設備</v>
      </c>
      <c r="AJ69" s="21">
        <v>0.69299999999999995</v>
      </c>
      <c r="AK69" s="14">
        <v>0.96</v>
      </c>
      <c r="AL69" s="14">
        <v>1.07</v>
      </c>
      <c r="AM69" s="1">
        <v>-0.14000000000000001</v>
      </c>
      <c r="AN69" s="1">
        <v>1.1399999999999999</v>
      </c>
      <c r="AO69" s="13">
        <f t="shared" si="19"/>
        <v>1.04</v>
      </c>
      <c r="AP69" s="14">
        <f t="shared" si="2"/>
        <v>1.04</v>
      </c>
    </row>
    <row r="70" spans="21:42">
      <c r="U70" s="15">
        <v>2013</v>
      </c>
      <c r="V70" s="17">
        <v>2010</v>
      </c>
      <c r="AE70" s="1">
        <v>8</v>
      </c>
      <c r="AF70" s="1" t="s">
        <v>6</v>
      </c>
      <c r="AG70" s="12" t="s">
        <v>0</v>
      </c>
      <c r="AH70" s="1" t="s">
        <v>117</v>
      </c>
      <c r="AI70" s="1" t="str">
        <f t="shared" si="10"/>
        <v>8冷房事務所既存設備</v>
      </c>
      <c r="AJ70" s="21">
        <v>0.76300000000000001</v>
      </c>
      <c r="AK70" s="14">
        <v>0.93</v>
      </c>
      <c r="AL70" s="14">
        <v>1.03</v>
      </c>
      <c r="AM70" s="1">
        <v>-0.06</v>
      </c>
      <c r="AN70" s="1">
        <v>1.06</v>
      </c>
      <c r="AO70" s="13">
        <f t="shared" si="19"/>
        <v>1.01</v>
      </c>
      <c r="AP70" s="14">
        <f t="shared" si="2"/>
        <v>1.01</v>
      </c>
    </row>
    <row r="71" spans="21:42">
      <c r="U71" s="15">
        <v>2014</v>
      </c>
      <c r="V71" s="17">
        <v>2010</v>
      </c>
      <c r="AE71" s="1">
        <v>8</v>
      </c>
      <c r="AF71" s="1" t="s">
        <v>6</v>
      </c>
      <c r="AG71" s="12" t="s">
        <v>0</v>
      </c>
      <c r="AH71" s="1" t="s">
        <v>120</v>
      </c>
      <c r="AI71" s="1" t="str">
        <f t="shared" si="10"/>
        <v>8冷房事務所導入予定設備</v>
      </c>
      <c r="AJ71" s="21">
        <v>0.76300000000000001</v>
      </c>
      <c r="AK71" s="14">
        <v>0.96</v>
      </c>
      <c r="AL71" s="14">
        <v>1.07</v>
      </c>
      <c r="AM71" s="1">
        <v>-0.14000000000000001</v>
      </c>
      <c r="AN71" s="1">
        <v>1.1399999999999999</v>
      </c>
      <c r="AO71" s="13">
        <f t="shared" si="19"/>
        <v>1.03</v>
      </c>
      <c r="AP71" s="14">
        <f t="shared" si="2"/>
        <v>1.03</v>
      </c>
    </row>
    <row r="72" spans="21:42">
      <c r="U72" s="15">
        <v>2015</v>
      </c>
      <c r="V72" s="17">
        <v>2010</v>
      </c>
      <c r="AE72" s="1">
        <v>9</v>
      </c>
      <c r="AF72" s="1" t="s">
        <v>5</v>
      </c>
      <c r="AG72" s="22" t="s">
        <v>1</v>
      </c>
      <c r="AH72" s="1" t="s">
        <v>117</v>
      </c>
      <c r="AI72" s="1" t="str">
        <f t="shared" si="10"/>
        <v>9暖房店舗既存設備</v>
      </c>
      <c r="AJ72" s="21">
        <v>0</v>
      </c>
      <c r="AK72" s="14">
        <v>0.9</v>
      </c>
      <c r="AL72" s="14">
        <v>1</v>
      </c>
      <c r="AM72" s="1"/>
      <c r="AN72" s="1"/>
      <c r="AO72" s="14">
        <v>1</v>
      </c>
      <c r="AP72" s="14">
        <f t="shared" si="2"/>
        <v>0.9</v>
      </c>
    </row>
    <row r="73" spans="21:42">
      <c r="U73" s="15">
        <v>2016</v>
      </c>
      <c r="V73" s="17">
        <v>2010</v>
      </c>
      <c r="AE73" s="1">
        <v>9</v>
      </c>
      <c r="AF73" s="1" t="s">
        <v>5</v>
      </c>
      <c r="AG73" s="22" t="s">
        <v>1</v>
      </c>
      <c r="AH73" s="1" t="s">
        <v>120</v>
      </c>
      <c r="AI73" s="1" t="str">
        <f t="shared" si="10"/>
        <v>9暖房店舗導入予定設備</v>
      </c>
      <c r="AJ73" s="21">
        <v>0</v>
      </c>
      <c r="AK73" s="14">
        <v>0.9</v>
      </c>
      <c r="AL73" s="14">
        <v>1</v>
      </c>
      <c r="AM73" s="1"/>
      <c r="AN73" s="1"/>
      <c r="AO73" s="14">
        <v>1</v>
      </c>
      <c r="AP73" s="14">
        <f t="shared" ref="AP73:AP136" si="20">IF(AJ73&gt;=0.5,AO73,IF(AJ73&gt;=0.3,AL73,AK73))</f>
        <v>0.9</v>
      </c>
    </row>
    <row r="74" spans="21:42">
      <c r="U74" s="30" t="s">
        <v>161</v>
      </c>
      <c r="V74" s="17">
        <v>2010</v>
      </c>
      <c r="AE74" s="1">
        <v>9</v>
      </c>
      <c r="AF74" s="1" t="s">
        <v>6</v>
      </c>
      <c r="AG74" s="22" t="s">
        <v>1</v>
      </c>
      <c r="AH74" s="1" t="s">
        <v>117</v>
      </c>
      <c r="AI74" s="1" t="str">
        <f t="shared" si="10"/>
        <v>9暖房事務所既存設備</v>
      </c>
      <c r="AJ74" s="21">
        <v>0</v>
      </c>
      <c r="AK74" s="14">
        <v>0.9</v>
      </c>
      <c r="AL74" s="14">
        <v>1</v>
      </c>
      <c r="AM74" s="1"/>
      <c r="AN74" s="1"/>
      <c r="AO74" s="14">
        <v>1</v>
      </c>
      <c r="AP74" s="14">
        <f t="shared" si="20"/>
        <v>0.9</v>
      </c>
    </row>
    <row r="75" spans="21:42">
      <c r="U75" s="15">
        <v>2018</v>
      </c>
      <c r="V75" s="17">
        <v>2010</v>
      </c>
      <c r="AE75" s="1">
        <v>9</v>
      </c>
      <c r="AF75" s="1" t="s">
        <v>6</v>
      </c>
      <c r="AG75" s="22" t="s">
        <v>1</v>
      </c>
      <c r="AH75" s="1" t="s">
        <v>120</v>
      </c>
      <c r="AI75" s="1" t="str">
        <f t="shared" si="10"/>
        <v>9暖房事務所導入予定設備</v>
      </c>
      <c r="AJ75" s="21">
        <v>0</v>
      </c>
      <c r="AK75" s="14">
        <v>0.9</v>
      </c>
      <c r="AL75" s="14">
        <v>1</v>
      </c>
      <c r="AM75" s="1"/>
      <c r="AN75" s="1"/>
      <c r="AO75" s="14">
        <v>1</v>
      </c>
      <c r="AP75" s="14">
        <f t="shared" si="20"/>
        <v>0.9</v>
      </c>
    </row>
    <row r="76" spans="21:42">
      <c r="U76" s="30" t="s">
        <v>233</v>
      </c>
      <c r="V76" s="17">
        <v>2010</v>
      </c>
      <c r="AE76" s="1">
        <v>9</v>
      </c>
      <c r="AF76" s="1" t="s">
        <v>5</v>
      </c>
      <c r="AG76" s="12" t="s">
        <v>0</v>
      </c>
      <c r="AH76" s="1" t="s">
        <v>117</v>
      </c>
      <c r="AI76" s="1" t="str">
        <f t="shared" si="10"/>
        <v>9冷房店舗既存設備</v>
      </c>
      <c r="AJ76" s="21">
        <v>0.47</v>
      </c>
      <c r="AK76" s="14">
        <v>0.93</v>
      </c>
      <c r="AL76" s="14">
        <v>1.03</v>
      </c>
      <c r="AM76" s="1">
        <v>-0.06</v>
      </c>
      <c r="AN76" s="1">
        <v>1.06</v>
      </c>
      <c r="AO76" s="13">
        <f t="shared" ref="AO76:AO79" si="21">ROUNDDOWN(AM76*AJ76+AN76,2)</f>
        <v>1.03</v>
      </c>
      <c r="AP76" s="14">
        <f t="shared" si="20"/>
        <v>1.03</v>
      </c>
    </row>
    <row r="77" spans="21:42">
      <c r="U77" s="30" t="s">
        <v>234</v>
      </c>
      <c r="V77" s="17">
        <v>2010</v>
      </c>
      <c r="AE77" s="1">
        <v>9</v>
      </c>
      <c r="AF77" s="1" t="s">
        <v>5</v>
      </c>
      <c r="AG77" s="12" t="s">
        <v>0</v>
      </c>
      <c r="AH77" s="1" t="s">
        <v>120</v>
      </c>
      <c r="AI77" s="1" t="str">
        <f t="shared" si="10"/>
        <v>9冷房店舗導入予定設備</v>
      </c>
      <c r="AJ77" s="21">
        <v>0.47</v>
      </c>
      <c r="AK77" s="14">
        <v>0.96</v>
      </c>
      <c r="AL77" s="14">
        <v>1.07</v>
      </c>
      <c r="AM77" s="1">
        <v>-0.14000000000000001</v>
      </c>
      <c r="AN77" s="1">
        <v>1.1399999999999999</v>
      </c>
      <c r="AO77" s="13">
        <f t="shared" si="21"/>
        <v>1.07</v>
      </c>
      <c r="AP77" s="14">
        <f t="shared" si="20"/>
        <v>1.07</v>
      </c>
    </row>
    <row r="78" spans="21:42">
      <c r="U78" s="30" t="s">
        <v>243</v>
      </c>
      <c r="V78" s="17">
        <v>2010</v>
      </c>
      <c r="AE78" s="1">
        <v>9</v>
      </c>
      <c r="AF78" s="1" t="s">
        <v>6</v>
      </c>
      <c r="AG78" s="12" t="s">
        <v>0</v>
      </c>
      <c r="AH78" s="1" t="s">
        <v>117</v>
      </c>
      <c r="AI78" s="1" t="str">
        <f t="shared" si="10"/>
        <v>9冷房事務所既存設備</v>
      </c>
      <c r="AJ78" s="21">
        <v>0.50600000000000001</v>
      </c>
      <c r="AK78" s="14">
        <v>0.93</v>
      </c>
      <c r="AL78" s="14">
        <v>1.03</v>
      </c>
      <c r="AM78" s="1">
        <v>-0.06</v>
      </c>
      <c r="AN78" s="1">
        <v>1.06</v>
      </c>
      <c r="AO78" s="13">
        <f t="shared" si="21"/>
        <v>1.02</v>
      </c>
      <c r="AP78" s="14">
        <f t="shared" si="20"/>
        <v>1.02</v>
      </c>
    </row>
    <row r="79" spans="21:42">
      <c r="U79" s="30" t="s">
        <v>244</v>
      </c>
      <c r="V79" s="17">
        <v>2010</v>
      </c>
      <c r="AE79" s="1">
        <v>9</v>
      </c>
      <c r="AF79" s="1" t="s">
        <v>6</v>
      </c>
      <c r="AG79" s="12" t="s">
        <v>0</v>
      </c>
      <c r="AH79" s="1" t="s">
        <v>120</v>
      </c>
      <c r="AI79" s="1" t="str">
        <f t="shared" si="10"/>
        <v>9冷房事務所導入予定設備</v>
      </c>
      <c r="AJ79" s="21">
        <v>0.50600000000000001</v>
      </c>
      <c r="AK79" s="14">
        <v>0.96</v>
      </c>
      <c r="AL79" s="14">
        <v>1.07</v>
      </c>
      <c r="AM79" s="1">
        <v>-0.14000000000000001</v>
      </c>
      <c r="AN79" s="1">
        <v>1.1399999999999999</v>
      </c>
      <c r="AO79" s="13">
        <f t="shared" si="21"/>
        <v>1.06</v>
      </c>
      <c r="AP79" s="14">
        <f t="shared" si="20"/>
        <v>1.06</v>
      </c>
    </row>
    <row r="80" spans="21:42">
      <c r="U80" s="30" t="s">
        <v>254</v>
      </c>
      <c r="V80" s="30" t="s">
        <v>255</v>
      </c>
      <c r="AE80" s="1">
        <v>10</v>
      </c>
      <c r="AF80" s="1" t="s">
        <v>5</v>
      </c>
      <c r="AG80" s="22" t="s">
        <v>1</v>
      </c>
      <c r="AH80" s="1" t="s">
        <v>117</v>
      </c>
      <c r="AI80" s="1" t="str">
        <f t="shared" si="10"/>
        <v>10暖房店舗既存設備</v>
      </c>
      <c r="AJ80" s="21">
        <v>0</v>
      </c>
      <c r="AK80" s="14">
        <v>0.9</v>
      </c>
      <c r="AL80" s="14">
        <v>1</v>
      </c>
      <c r="AM80" s="1"/>
      <c r="AN80" s="1"/>
      <c r="AO80" s="14">
        <v>1</v>
      </c>
      <c r="AP80" s="14">
        <f t="shared" si="20"/>
        <v>0.9</v>
      </c>
    </row>
    <row r="81" spans="21:42">
      <c r="U81" s="30" t="s">
        <v>257</v>
      </c>
      <c r="V81" s="30" t="s">
        <v>255</v>
      </c>
      <c r="AE81" s="1">
        <v>10</v>
      </c>
      <c r="AF81" s="1" t="s">
        <v>5</v>
      </c>
      <c r="AG81" s="22" t="s">
        <v>1</v>
      </c>
      <c r="AH81" s="1" t="s">
        <v>120</v>
      </c>
      <c r="AI81" s="1" t="str">
        <f t="shared" si="10"/>
        <v>10暖房店舗導入予定設備</v>
      </c>
      <c r="AJ81" s="21">
        <v>0</v>
      </c>
      <c r="AK81" s="14">
        <v>0.9</v>
      </c>
      <c r="AL81" s="14">
        <v>1</v>
      </c>
      <c r="AM81" s="1"/>
      <c r="AN81" s="1"/>
      <c r="AO81" s="14">
        <v>1</v>
      </c>
      <c r="AP81" s="14">
        <f t="shared" si="20"/>
        <v>0.9</v>
      </c>
    </row>
    <row r="82" spans="21:42">
      <c r="U82" s="30" t="s">
        <v>259</v>
      </c>
      <c r="V82" s="30" t="s">
        <v>255</v>
      </c>
      <c r="AE82" s="1">
        <v>10</v>
      </c>
      <c r="AF82" s="1" t="s">
        <v>6</v>
      </c>
      <c r="AG82" s="22" t="s">
        <v>1</v>
      </c>
      <c r="AH82" s="1" t="s">
        <v>117</v>
      </c>
      <c r="AI82" s="1" t="str">
        <f t="shared" si="10"/>
        <v>10暖房事務所既存設備</v>
      </c>
      <c r="AJ82" s="21">
        <v>0</v>
      </c>
      <c r="AK82" s="14">
        <v>0.9</v>
      </c>
      <c r="AL82" s="14">
        <v>1</v>
      </c>
      <c r="AM82" s="1"/>
      <c r="AN82" s="1"/>
      <c r="AO82" s="14">
        <v>1</v>
      </c>
      <c r="AP82" s="14">
        <f t="shared" si="20"/>
        <v>0.9</v>
      </c>
    </row>
    <row r="83" spans="21:42">
      <c r="U83" s="30" t="s">
        <v>260</v>
      </c>
      <c r="V83" s="30" t="s">
        <v>255</v>
      </c>
      <c r="AE83" s="1">
        <v>10</v>
      </c>
      <c r="AF83" s="1" t="s">
        <v>6</v>
      </c>
      <c r="AG83" s="22" t="s">
        <v>1</v>
      </c>
      <c r="AH83" s="1" t="s">
        <v>120</v>
      </c>
      <c r="AI83" s="1" t="str">
        <f t="shared" si="10"/>
        <v>10暖房事務所導入予定設備</v>
      </c>
      <c r="AJ83" s="21">
        <v>0</v>
      </c>
      <c r="AK83" s="14">
        <v>0.9</v>
      </c>
      <c r="AL83" s="14">
        <v>1</v>
      </c>
      <c r="AM83" s="1"/>
      <c r="AN83" s="1"/>
      <c r="AO83" s="14">
        <v>1</v>
      </c>
      <c r="AP83" s="14">
        <f t="shared" si="20"/>
        <v>0.9</v>
      </c>
    </row>
    <row r="84" spans="21:42">
      <c r="AE84" s="1">
        <v>10</v>
      </c>
      <c r="AF84" s="1" t="s">
        <v>5</v>
      </c>
      <c r="AG84" s="12" t="s">
        <v>0</v>
      </c>
      <c r="AH84" s="1" t="s">
        <v>117</v>
      </c>
      <c r="AI84" s="1" t="str">
        <f t="shared" si="10"/>
        <v>10冷房店舗既存設備</v>
      </c>
      <c r="AJ84" s="21">
        <v>0.36399999999999999</v>
      </c>
      <c r="AK84" s="14">
        <v>0.93</v>
      </c>
      <c r="AL84" s="14">
        <v>1.03</v>
      </c>
      <c r="AM84" s="1">
        <v>-0.06</v>
      </c>
      <c r="AN84" s="1">
        <v>1.06</v>
      </c>
      <c r="AO84" s="13">
        <f t="shared" ref="AO84:AO87" si="22">ROUNDDOWN(AM84*AJ84+AN84,2)</f>
        <v>1.03</v>
      </c>
      <c r="AP84" s="14">
        <f t="shared" si="20"/>
        <v>1.03</v>
      </c>
    </row>
    <row r="85" spans="21:42">
      <c r="AE85" s="1">
        <v>10</v>
      </c>
      <c r="AF85" s="1" t="s">
        <v>5</v>
      </c>
      <c r="AG85" s="12" t="s">
        <v>0</v>
      </c>
      <c r="AH85" s="1" t="s">
        <v>120</v>
      </c>
      <c r="AI85" s="1" t="str">
        <f t="shared" si="10"/>
        <v>10冷房店舗導入予定設備</v>
      </c>
      <c r="AJ85" s="21">
        <v>0.36399999999999999</v>
      </c>
      <c r="AK85" s="14">
        <v>0.96</v>
      </c>
      <c r="AL85" s="14">
        <v>1.07</v>
      </c>
      <c r="AM85" s="1">
        <v>-0.14000000000000001</v>
      </c>
      <c r="AN85" s="1">
        <v>1.1399999999999999</v>
      </c>
      <c r="AO85" s="13">
        <f t="shared" si="22"/>
        <v>1.08</v>
      </c>
      <c r="AP85" s="14">
        <f t="shared" si="20"/>
        <v>1.07</v>
      </c>
    </row>
    <row r="86" spans="21:42">
      <c r="AE86" s="1">
        <v>10</v>
      </c>
      <c r="AF86" s="1" t="s">
        <v>6</v>
      </c>
      <c r="AG86" s="12" t="s">
        <v>0</v>
      </c>
      <c r="AH86" s="1" t="s">
        <v>117</v>
      </c>
      <c r="AI86" s="1" t="str">
        <f t="shared" si="10"/>
        <v>10冷房事務所既存設備</v>
      </c>
      <c r="AJ86" s="21">
        <v>6.0999999999999999E-2</v>
      </c>
      <c r="AK86" s="14">
        <v>0.93</v>
      </c>
      <c r="AL86" s="14">
        <v>1.03</v>
      </c>
      <c r="AM86" s="1">
        <v>-0.06</v>
      </c>
      <c r="AN86" s="1">
        <v>1.06</v>
      </c>
      <c r="AO86" s="13">
        <f t="shared" si="22"/>
        <v>1.05</v>
      </c>
      <c r="AP86" s="14">
        <f t="shared" si="20"/>
        <v>0.93</v>
      </c>
    </row>
    <row r="87" spans="21:42">
      <c r="AE87" s="1">
        <v>10</v>
      </c>
      <c r="AF87" s="1" t="s">
        <v>6</v>
      </c>
      <c r="AG87" s="12" t="s">
        <v>0</v>
      </c>
      <c r="AH87" s="1" t="s">
        <v>120</v>
      </c>
      <c r="AI87" s="1" t="str">
        <f t="shared" si="10"/>
        <v>10冷房事務所導入予定設備</v>
      </c>
      <c r="AJ87" s="21">
        <v>6.0999999999999999E-2</v>
      </c>
      <c r="AK87" s="14">
        <v>0.96</v>
      </c>
      <c r="AL87" s="14">
        <v>1.07</v>
      </c>
      <c r="AM87" s="1">
        <v>-0.14000000000000001</v>
      </c>
      <c r="AN87" s="1">
        <v>1.1399999999999999</v>
      </c>
      <c r="AO87" s="13">
        <f t="shared" si="22"/>
        <v>1.1299999999999999</v>
      </c>
      <c r="AP87" s="14">
        <f t="shared" si="20"/>
        <v>0.96</v>
      </c>
    </row>
    <row r="88" spans="21:42">
      <c r="AE88" s="1">
        <v>11</v>
      </c>
      <c r="AF88" s="1" t="s">
        <v>5</v>
      </c>
      <c r="AG88" s="22" t="s">
        <v>1</v>
      </c>
      <c r="AH88" s="1" t="s">
        <v>117</v>
      </c>
      <c r="AI88" s="1" t="str">
        <f t="shared" ref="AI88:AI151" si="23">AE88&amp;AG88&amp;AF88&amp;AH88</f>
        <v>11暖房店舗既存設備</v>
      </c>
      <c r="AJ88" s="21">
        <v>0.154</v>
      </c>
      <c r="AK88" s="14">
        <v>0.9</v>
      </c>
      <c r="AL88" s="14">
        <v>1</v>
      </c>
      <c r="AM88" s="1"/>
      <c r="AN88" s="1"/>
      <c r="AO88" s="14">
        <v>1</v>
      </c>
      <c r="AP88" s="14">
        <f t="shared" si="20"/>
        <v>0.9</v>
      </c>
    </row>
    <row r="89" spans="21:42">
      <c r="AE89" s="1">
        <v>11</v>
      </c>
      <c r="AF89" s="1" t="s">
        <v>5</v>
      </c>
      <c r="AG89" s="22" t="s">
        <v>1</v>
      </c>
      <c r="AH89" s="1" t="s">
        <v>120</v>
      </c>
      <c r="AI89" s="1" t="str">
        <f t="shared" si="23"/>
        <v>11暖房店舗導入予定設備</v>
      </c>
      <c r="AJ89" s="21">
        <v>0.154</v>
      </c>
      <c r="AK89" s="14">
        <v>0.9</v>
      </c>
      <c r="AL89" s="14">
        <v>1</v>
      </c>
      <c r="AM89" s="1"/>
      <c r="AN89" s="1"/>
      <c r="AO89" s="14">
        <v>1</v>
      </c>
      <c r="AP89" s="14">
        <f t="shared" si="20"/>
        <v>0.9</v>
      </c>
    </row>
    <row r="90" spans="21:42">
      <c r="AE90" s="1">
        <v>11</v>
      </c>
      <c r="AF90" s="1" t="s">
        <v>6</v>
      </c>
      <c r="AG90" s="22" t="s">
        <v>1</v>
      </c>
      <c r="AH90" s="1" t="s">
        <v>117</v>
      </c>
      <c r="AI90" s="1" t="str">
        <f t="shared" si="23"/>
        <v>11暖房事務所既存設備</v>
      </c>
      <c r="AJ90" s="21">
        <v>0.20599999999999999</v>
      </c>
      <c r="AK90" s="14">
        <v>0.9</v>
      </c>
      <c r="AL90" s="14">
        <v>1</v>
      </c>
      <c r="AM90" s="1"/>
      <c r="AN90" s="1"/>
      <c r="AO90" s="14">
        <v>1</v>
      </c>
      <c r="AP90" s="14">
        <f t="shared" si="20"/>
        <v>0.9</v>
      </c>
    </row>
    <row r="91" spans="21:42">
      <c r="AE91" s="1">
        <v>11</v>
      </c>
      <c r="AF91" s="1" t="s">
        <v>6</v>
      </c>
      <c r="AG91" s="22" t="s">
        <v>1</v>
      </c>
      <c r="AH91" s="1" t="s">
        <v>120</v>
      </c>
      <c r="AI91" s="1" t="str">
        <f t="shared" si="23"/>
        <v>11暖房事務所導入予定設備</v>
      </c>
      <c r="AJ91" s="21">
        <v>0.20599999999999999</v>
      </c>
      <c r="AK91" s="14">
        <v>0.9</v>
      </c>
      <c r="AL91" s="14">
        <v>1</v>
      </c>
      <c r="AM91" s="1"/>
      <c r="AN91" s="1"/>
      <c r="AO91" s="14">
        <v>1</v>
      </c>
      <c r="AP91" s="14">
        <f t="shared" si="20"/>
        <v>0.9</v>
      </c>
    </row>
    <row r="92" spans="21:42">
      <c r="AE92" s="1">
        <v>11</v>
      </c>
      <c r="AF92" s="1" t="s">
        <v>5</v>
      </c>
      <c r="AG92" s="12" t="s">
        <v>0</v>
      </c>
      <c r="AH92" s="1" t="s">
        <v>117</v>
      </c>
      <c r="AI92" s="1" t="str">
        <f t="shared" si="23"/>
        <v>11冷房店舗既存設備</v>
      </c>
      <c r="AJ92" s="21">
        <v>0</v>
      </c>
      <c r="AK92" s="14">
        <v>0.93</v>
      </c>
      <c r="AL92" s="14">
        <v>1.03</v>
      </c>
      <c r="AM92" s="1">
        <v>-0.06</v>
      </c>
      <c r="AN92" s="1">
        <v>1.06</v>
      </c>
      <c r="AO92" s="13">
        <f t="shared" ref="AO92:AO95" si="24">ROUNDDOWN(AM92*AJ92+AN92,2)</f>
        <v>1.06</v>
      </c>
      <c r="AP92" s="14">
        <f t="shared" si="20"/>
        <v>0.93</v>
      </c>
    </row>
    <row r="93" spans="21:42">
      <c r="AE93" s="1">
        <v>11</v>
      </c>
      <c r="AF93" s="1" t="s">
        <v>5</v>
      </c>
      <c r="AG93" s="12" t="s">
        <v>0</v>
      </c>
      <c r="AH93" s="1" t="s">
        <v>120</v>
      </c>
      <c r="AI93" s="1" t="str">
        <f t="shared" si="23"/>
        <v>11冷房店舗導入予定設備</v>
      </c>
      <c r="AJ93" s="21">
        <v>0</v>
      </c>
      <c r="AK93" s="14">
        <v>0.96</v>
      </c>
      <c r="AL93" s="14">
        <v>1.07</v>
      </c>
      <c r="AM93" s="1">
        <v>-0.14000000000000001</v>
      </c>
      <c r="AN93" s="1">
        <v>1.1399999999999999</v>
      </c>
      <c r="AO93" s="13">
        <f t="shared" si="24"/>
        <v>1.1399999999999999</v>
      </c>
      <c r="AP93" s="14">
        <f t="shared" si="20"/>
        <v>0.96</v>
      </c>
    </row>
    <row r="94" spans="21:42">
      <c r="AE94" s="1">
        <v>11</v>
      </c>
      <c r="AF94" s="1" t="s">
        <v>6</v>
      </c>
      <c r="AG94" s="12" t="s">
        <v>0</v>
      </c>
      <c r="AH94" s="1" t="s">
        <v>117</v>
      </c>
      <c r="AI94" s="1" t="str">
        <f t="shared" si="23"/>
        <v>11冷房事務所既存設備</v>
      </c>
      <c r="AJ94" s="21">
        <v>0</v>
      </c>
      <c r="AK94" s="14">
        <v>0.93</v>
      </c>
      <c r="AL94" s="14">
        <v>1.03</v>
      </c>
      <c r="AM94" s="1">
        <v>-0.06</v>
      </c>
      <c r="AN94" s="1">
        <v>1.06</v>
      </c>
      <c r="AO94" s="13">
        <f t="shared" si="24"/>
        <v>1.06</v>
      </c>
      <c r="AP94" s="14">
        <f t="shared" si="20"/>
        <v>0.93</v>
      </c>
    </row>
    <row r="95" spans="21:42">
      <c r="AE95" s="1">
        <v>11</v>
      </c>
      <c r="AF95" s="1" t="s">
        <v>6</v>
      </c>
      <c r="AG95" s="12" t="s">
        <v>0</v>
      </c>
      <c r="AH95" s="1" t="s">
        <v>120</v>
      </c>
      <c r="AI95" s="1" t="str">
        <f t="shared" si="23"/>
        <v>11冷房事務所導入予定設備</v>
      </c>
      <c r="AJ95" s="21">
        <v>0</v>
      </c>
      <c r="AK95" s="14">
        <v>0.96</v>
      </c>
      <c r="AL95" s="14">
        <v>1.07</v>
      </c>
      <c r="AM95" s="1">
        <v>-0.14000000000000001</v>
      </c>
      <c r="AN95" s="1">
        <v>1.1399999999999999</v>
      </c>
      <c r="AO95" s="13">
        <f t="shared" si="24"/>
        <v>1.1399999999999999</v>
      </c>
      <c r="AP95" s="14">
        <f t="shared" si="20"/>
        <v>0.96</v>
      </c>
    </row>
    <row r="96" spans="21:42">
      <c r="AE96" s="1">
        <v>12</v>
      </c>
      <c r="AF96" s="1" t="s">
        <v>5</v>
      </c>
      <c r="AG96" s="22" t="s">
        <v>1</v>
      </c>
      <c r="AH96" s="1" t="s">
        <v>117</v>
      </c>
      <c r="AI96" s="1" t="str">
        <f t="shared" si="23"/>
        <v>12暖房店舗既存設備</v>
      </c>
      <c r="AJ96" s="21">
        <v>0.371</v>
      </c>
      <c r="AK96" s="14">
        <v>0.9</v>
      </c>
      <c r="AL96" s="14">
        <v>1</v>
      </c>
      <c r="AM96" s="1"/>
      <c r="AN96" s="1"/>
      <c r="AO96" s="14">
        <v>1</v>
      </c>
      <c r="AP96" s="14">
        <f t="shared" si="20"/>
        <v>1</v>
      </c>
    </row>
    <row r="97" spans="31:42">
      <c r="AE97" s="1">
        <v>12</v>
      </c>
      <c r="AF97" s="1" t="s">
        <v>5</v>
      </c>
      <c r="AG97" s="22" t="s">
        <v>1</v>
      </c>
      <c r="AH97" s="1" t="s">
        <v>120</v>
      </c>
      <c r="AI97" s="1" t="str">
        <f t="shared" si="23"/>
        <v>12暖房店舗導入予定設備</v>
      </c>
      <c r="AJ97" s="21">
        <v>0.371</v>
      </c>
      <c r="AK97" s="14">
        <v>0.9</v>
      </c>
      <c r="AL97" s="14">
        <v>1</v>
      </c>
      <c r="AM97" s="1"/>
      <c r="AN97" s="1"/>
      <c r="AO97" s="14">
        <v>1</v>
      </c>
      <c r="AP97" s="14">
        <f t="shared" si="20"/>
        <v>1</v>
      </c>
    </row>
    <row r="98" spans="31:42">
      <c r="AE98" s="1">
        <v>12</v>
      </c>
      <c r="AF98" s="1" t="s">
        <v>6</v>
      </c>
      <c r="AG98" s="22" t="s">
        <v>1</v>
      </c>
      <c r="AH98" s="1" t="s">
        <v>117</v>
      </c>
      <c r="AI98" s="1" t="str">
        <f t="shared" si="23"/>
        <v>12暖房事務所既存設備</v>
      </c>
      <c r="AJ98" s="21">
        <v>0.48599999999999999</v>
      </c>
      <c r="AK98" s="14">
        <v>0.9</v>
      </c>
      <c r="AL98" s="14">
        <v>1</v>
      </c>
      <c r="AM98" s="1"/>
      <c r="AN98" s="1"/>
      <c r="AO98" s="14">
        <v>1</v>
      </c>
      <c r="AP98" s="14">
        <f t="shared" si="20"/>
        <v>1</v>
      </c>
    </row>
    <row r="99" spans="31:42">
      <c r="AE99" s="1">
        <v>12</v>
      </c>
      <c r="AF99" s="1" t="s">
        <v>6</v>
      </c>
      <c r="AG99" s="22" t="s">
        <v>1</v>
      </c>
      <c r="AH99" s="1" t="s">
        <v>120</v>
      </c>
      <c r="AI99" s="1" t="str">
        <f t="shared" si="23"/>
        <v>12暖房事務所導入予定設備</v>
      </c>
      <c r="AJ99" s="21">
        <v>0.48599999999999999</v>
      </c>
      <c r="AK99" s="14">
        <v>0.9</v>
      </c>
      <c r="AL99" s="14">
        <v>1</v>
      </c>
      <c r="AM99" s="1"/>
      <c r="AN99" s="1"/>
      <c r="AO99" s="14">
        <v>1</v>
      </c>
      <c r="AP99" s="14">
        <f t="shared" si="20"/>
        <v>1</v>
      </c>
    </row>
    <row r="100" spans="31:42">
      <c r="AE100" s="1">
        <v>12</v>
      </c>
      <c r="AF100" s="1" t="s">
        <v>5</v>
      </c>
      <c r="AG100" s="12" t="s">
        <v>0</v>
      </c>
      <c r="AH100" s="1" t="s">
        <v>117</v>
      </c>
      <c r="AI100" s="1" t="str">
        <f t="shared" si="23"/>
        <v>12冷房店舗既存設備</v>
      </c>
      <c r="AJ100" s="21">
        <v>0</v>
      </c>
      <c r="AK100" s="14">
        <v>0.93</v>
      </c>
      <c r="AL100" s="14">
        <v>1.03</v>
      </c>
      <c r="AM100" s="1">
        <v>-0.06</v>
      </c>
      <c r="AN100" s="1">
        <v>1.06</v>
      </c>
      <c r="AO100" s="13">
        <f t="shared" ref="AO100:AO103" si="25">ROUNDDOWN(AM100*AJ100+AN100,2)</f>
        <v>1.06</v>
      </c>
      <c r="AP100" s="14">
        <f t="shared" si="20"/>
        <v>0.93</v>
      </c>
    </row>
    <row r="101" spans="31:42">
      <c r="AE101" s="1">
        <v>12</v>
      </c>
      <c r="AF101" s="1" t="s">
        <v>5</v>
      </c>
      <c r="AG101" s="12" t="s">
        <v>0</v>
      </c>
      <c r="AH101" s="1" t="s">
        <v>120</v>
      </c>
      <c r="AI101" s="1" t="str">
        <f t="shared" si="23"/>
        <v>12冷房店舗導入予定設備</v>
      </c>
      <c r="AJ101" s="21">
        <v>0</v>
      </c>
      <c r="AK101" s="14">
        <v>0.96</v>
      </c>
      <c r="AL101" s="14">
        <v>1.07</v>
      </c>
      <c r="AM101" s="1">
        <v>-0.14000000000000001</v>
      </c>
      <c r="AN101" s="1">
        <v>1.1399999999999999</v>
      </c>
      <c r="AO101" s="13">
        <f t="shared" si="25"/>
        <v>1.1399999999999999</v>
      </c>
      <c r="AP101" s="14">
        <f t="shared" si="20"/>
        <v>0.96</v>
      </c>
    </row>
    <row r="102" spans="31:42">
      <c r="AE102" s="1">
        <v>12</v>
      </c>
      <c r="AF102" s="1" t="s">
        <v>6</v>
      </c>
      <c r="AG102" s="12" t="s">
        <v>0</v>
      </c>
      <c r="AH102" s="1" t="s">
        <v>117</v>
      </c>
      <c r="AI102" s="1" t="str">
        <f t="shared" si="23"/>
        <v>12冷房事務所既存設備</v>
      </c>
      <c r="AJ102" s="21">
        <v>0</v>
      </c>
      <c r="AK102" s="14">
        <v>0.93</v>
      </c>
      <c r="AL102" s="14">
        <v>1.03</v>
      </c>
      <c r="AM102" s="1">
        <v>-0.06</v>
      </c>
      <c r="AN102" s="1">
        <v>1.06</v>
      </c>
      <c r="AO102" s="13">
        <f t="shared" si="25"/>
        <v>1.06</v>
      </c>
      <c r="AP102" s="14">
        <f t="shared" si="20"/>
        <v>0.93</v>
      </c>
    </row>
    <row r="103" spans="31:42">
      <c r="AE103" s="1">
        <v>12</v>
      </c>
      <c r="AF103" s="1" t="s">
        <v>6</v>
      </c>
      <c r="AG103" s="12" t="s">
        <v>0</v>
      </c>
      <c r="AH103" s="1" t="s">
        <v>120</v>
      </c>
      <c r="AI103" s="1" t="str">
        <f t="shared" si="23"/>
        <v>12冷房事務所導入予定設備</v>
      </c>
      <c r="AJ103" s="21">
        <v>0</v>
      </c>
      <c r="AK103" s="14">
        <v>0.96</v>
      </c>
      <c r="AL103" s="14">
        <v>1.07</v>
      </c>
      <c r="AM103" s="1">
        <v>-0.14000000000000001</v>
      </c>
      <c r="AN103" s="1">
        <v>1.1399999999999999</v>
      </c>
      <c r="AO103" s="13">
        <f t="shared" si="25"/>
        <v>1.1399999999999999</v>
      </c>
      <c r="AP103" s="14">
        <f t="shared" si="20"/>
        <v>0.96</v>
      </c>
    </row>
    <row r="104" spans="31:42">
      <c r="AE104" s="1">
        <v>1</v>
      </c>
      <c r="AF104" s="1" t="s">
        <v>205</v>
      </c>
      <c r="AG104" s="22" t="s">
        <v>1</v>
      </c>
      <c r="AH104" s="1" t="s">
        <v>220</v>
      </c>
      <c r="AI104" s="1" t="str">
        <f t="shared" si="23"/>
        <v>1暖房その他既存設備</v>
      </c>
      <c r="AJ104" s="21">
        <f>既存設備!M46</f>
        <v>0.56200000000000006</v>
      </c>
      <c r="AK104" s="14">
        <v>0.9</v>
      </c>
      <c r="AL104" s="14">
        <v>1</v>
      </c>
      <c r="AM104" s="1"/>
      <c r="AN104" s="1"/>
      <c r="AO104" s="14">
        <v>1</v>
      </c>
      <c r="AP104" s="14">
        <f t="shared" si="20"/>
        <v>1</v>
      </c>
    </row>
    <row r="105" spans="31:42">
      <c r="AE105" s="1">
        <v>1</v>
      </c>
      <c r="AF105" s="1" t="s">
        <v>205</v>
      </c>
      <c r="AG105" s="22" t="s">
        <v>1</v>
      </c>
      <c r="AH105" s="1" t="s">
        <v>221</v>
      </c>
      <c r="AI105" s="1" t="str">
        <f t="shared" si="23"/>
        <v>1暖房その他導入予定設備</v>
      </c>
      <c r="AJ105" s="21">
        <f>導入予定設備!M46</f>
        <v>0.56200000000000006</v>
      </c>
      <c r="AK105" s="14">
        <v>0.9</v>
      </c>
      <c r="AL105" s="14">
        <v>1</v>
      </c>
      <c r="AM105" s="1"/>
      <c r="AN105" s="1"/>
      <c r="AO105" s="14">
        <v>1</v>
      </c>
      <c r="AP105" s="14">
        <f t="shared" si="20"/>
        <v>1</v>
      </c>
    </row>
    <row r="106" spans="31:42">
      <c r="AE106" s="1">
        <v>1</v>
      </c>
      <c r="AF106" s="1" t="s">
        <v>205</v>
      </c>
      <c r="AG106" s="22" t="s">
        <v>0</v>
      </c>
      <c r="AH106" s="1" t="s">
        <v>220</v>
      </c>
      <c r="AI106" s="1" t="str">
        <f t="shared" si="23"/>
        <v>1冷房その他既存設備</v>
      </c>
      <c r="AJ106" s="21">
        <f>既存設備!M46</f>
        <v>0.56200000000000006</v>
      </c>
      <c r="AK106" s="14">
        <v>0.93</v>
      </c>
      <c r="AL106" s="14">
        <v>1.03</v>
      </c>
      <c r="AM106" s="1">
        <v>-0.06</v>
      </c>
      <c r="AN106" s="1">
        <v>1.06</v>
      </c>
      <c r="AO106" s="13">
        <f t="shared" ref="AO106:AO107" si="26">ROUNDDOWN(AM106*AJ106+AN106,2)</f>
        <v>1.02</v>
      </c>
      <c r="AP106" s="14">
        <f t="shared" si="20"/>
        <v>1.02</v>
      </c>
    </row>
    <row r="107" spans="31:42">
      <c r="AE107" s="1">
        <v>1</v>
      </c>
      <c r="AF107" s="1" t="s">
        <v>205</v>
      </c>
      <c r="AG107" s="22" t="s">
        <v>0</v>
      </c>
      <c r="AH107" s="1" t="s">
        <v>221</v>
      </c>
      <c r="AI107" s="1" t="str">
        <f t="shared" si="23"/>
        <v>1冷房その他導入予定設備</v>
      </c>
      <c r="AJ107" s="21">
        <f>導入予定設備!M46</f>
        <v>0.56200000000000006</v>
      </c>
      <c r="AK107" s="14">
        <v>0.96</v>
      </c>
      <c r="AL107" s="14">
        <v>1.07</v>
      </c>
      <c r="AM107" s="1">
        <v>-0.14000000000000001</v>
      </c>
      <c r="AN107" s="1">
        <v>1.1399999999999999</v>
      </c>
      <c r="AO107" s="13">
        <f t="shared" si="26"/>
        <v>1.06</v>
      </c>
      <c r="AP107" s="14">
        <f t="shared" si="20"/>
        <v>1.06</v>
      </c>
    </row>
    <row r="108" spans="31:42">
      <c r="AE108" s="1">
        <v>2</v>
      </c>
      <c r="AF108" s="1" t="s">
        <v>205</v>
      </c>
      <c r="AG108" s="22" t="s">
        <v>1</v>
      </c>
      <c r="AH108" s="1" t="s">
        <v>220</v>
      </c>
      <c r="AI108" s="1" t="str">
        <f t="shared" si="23"/>
        <v>2暖房その他既存設備</v>
      </c>
      <c r="AJ108" s="21">
        <f>既存設備!M47</f>
        <v>0.56200000000000006</v>
      </c>
      <c r="AK108" s="14">
        <v>0.9</v>
      </c>
      <c r="AL108" s="14">
        <v>1</v>
      </c>
      <c r="AM108" s="1"/>
      <c r="AN108" s="1"/>
      <c r="AO108" s="14">
        <v>1</v>
      </c>
      <c r="AP108" s="14">
        <f t="shared" si="20"/>
        <v>1</v>
      </c>
    </row>
    <row r="109" spans="31:42">
      <c r="AE109" s="1">
        <v>2</v>
      </c>
      <c r="AF109" s="1" t="s">
        <v>205</v>
      </c>
      <c r="AG109" s="22" t="s">
        <v>1</v>
      </c>
      <c r="AH109" s="1" t="s">
        <v>221</v>
      </c>
      <c r="AI109" s="1" t="str">
        <f t="shared" si="23"/>
        <v>2暖房その他導入予定設備</v>
      </c>
      <c r="AJ109" s="21">
        <f>導入予定設備!M47</f>
        <v>0.56200000000000006</v>
      </c>
      <c r="AK109" s="14">
        <v>0.9</v>
      </c>
      <c r="AL109" s="14">
        <v>1</v>
      </c>
      <c r="AM109" s="1"/>
      <c r="AN109" s="1"/>
      <c r="AO109" s="14">
        <v>1</v>
      </c>
      <c r="AP109" s="14">
        <f t="shared" si="20"/>
        <v>1</v>
      </c>
    </row>
    <row r="110" spans="31:42">
      <c r="AE110" s="1">
        <v>2</v>
      </c>
      <c r="AF110" s="1" t="s">
        <v>205</v>
      </c>
      <c r="AG110" s="22" t="s">
        <v>0</v>
      </c>
      <c r="AH110" s="1" t="s">
        <v>220</v>
      </c>
      <c r="AI110" s="1" t="str">
        <f t="shared" si="23"/>
        <v>2冷房その他既存設備</v>
      </c>
      <c r="AJ110" s="21">
        <f>既存設備!M47</f>
        <v>0.56200000000000006</v>
      </c>
      <c r="AK110" s="14">
        <v>0.93</v>
      </c>
      <c r="AL110" s="14">
        <v>1.03</v>
      </c>
      <c r="AM110" s="1">
        <v>-0.06</v>
      </c>
      <c r="AN110" s="1">
        <v>1.06</v>
      </c>
      <c r="AO110" s="13">
        <f t="shared" ref="AO110:AO111" si="27">ROUNDDOWN(AM110*AJ110+AN110,2)</f>
        <v>1.02</v>
      </c>
      <c r="AP110" s="14">
        <f t="shared" si="20"/>
        <v>1.02</v>
      </c>
    </row>
    <row r="111" spans="31:42">
      <c r="AE111" s="1">
        <v>2</v>
      </c>
      <c r="AF111" s="1" t="s">
        <v>205</v>
      </c>
      <c r="AG111" s="22" t="s">
        <v>0</v>
      </c>
      <c r="AH111" s="1" t="s">
        <v>221</v>
      </c>
      <c r="AI111" s="1" t="str">
        <f t="shared" si="23"/>
        <v>2冷房その他導入予定設備</v>
      </c>
      <c r="AJ111" s="21">
        <f>導入予定設備!M47</f>
        <v>0.56200000000000006</v>
      </c>
      <c r="AK111" s="14">
        <v>0.96</v>
      </c>
      <c r="AL111" s="14">
        <v>1.07</v>
      </c>
      <c r="AM111" s="1">
        <v>-0.14000000000000001</v>
      </c>
      <c r="AN111" s="1">
        <v>1.1399999999999999</v>
      </c>
      <c r="AO111" s="13">
        <f t="shared" si="27"/>
        <v>1.06</v>
      </c>
      <c r="AP111" s="14">
        <f t="shared" si="20"/>
        <v>1.06</v>
      </c>
    </row>
    <row r="112" spans="31:42">
      <c r="AE112" s="1">
        <v>3</v>
      </c>
      <c r="AF112" s="1" t="s">
        <v>205</v>
      </c>
      <c r="AG112" s="22" t="s">
        <v>1</v>
      </c>
      <c r="AH112" s="1" t="s">
        <v>220</v>
      </c>
      <c r="AI112" s="1" t="str">
        <f t="shared" si="23"/>
        <v>3暖房その他既存設備</v>
      </c>
      <c r="AJ112" s="21">
        <f>既存設備!M48</f>
        <v>0.27300000000000002</v>
      </c>
      <c r="AK112" s="14">
        <v>0.9</v>
      </c>
      <c r="AL112" s="14">
        <v>1</v>
      </c>
      <c r="AM112" s="1"/>
      <c r="AN112" s="1"/>
      <c r="AO112" s="14">
        <v>1</v>
      </c>
      <c r="AP112" s="14">
        <f t="shared" si="20"/>
        <v>0.9</v>
      </c>
    </row>
    <row r="113" spans="31:42">
      <c r="AE113" s="1">
        <v>3</v>
      </c>
      <c r="AF113" s="1" t="s">
        <v>205</v>
      </c>
      <c r="AG113" s="22" t="s">
        <v>1</v>
      </c>
      <c r="AH113" s="1" t="s">
        <v>221</v>
      </c>
      <c r="AI113" s="1" t="str">
        <f t="shared" si="23"/>
        <v>3暖房その他導入予定設備</v>
      </c>
      <c r="AJ113" s="21">
        <f>導入予定設備!M48</f>
        <v>0.27300000000000002</v>
      </c>
      <c r="AK113" s="14">
        <v>0.9</v>
      </c>
      <c r="AL113" s="14">
        <v>1</v>
      </c>
      <c r="AM113" s="1"/>
      <c r="AN113" s="1"/>
      <c r="AO113" s="14">
        <v>1</v>
      </c>
      <c r="AP113" s="14">
        <f t="shared" si="20"/>
        <v>0.9</v>
      </c>
    </row>
    <row r="114" spans="31:42">
      <c r="AE114" s="1">
        <v>3</v>
      </c>
      <c r="AF114" s="1" t="s">
        <v>205</v>
      </c>
      <c r="AG114" s="22" t="s">
        <v>0</v>
      </c>
      <c r="AH114" s="1" t="s">
        <v>220</v>
      </c>
      <c r="AI114" s="1" t="str">
        <f t="shared" si="23"/>
        <v>3冷房その他既存設備</v>
      </c>
      <c r="AJ114" s="21">
        <f>既存設備!M48</f>
        <v>0.27300000000000002</v>
      </c>
      <c r="AK114" s="14">
        <v>0.93</v>
      </c>
      <c r="AL114" s="14">
        <v>1.03</v>
      </c>
      <c r="AM114" s="1">
        <v>-0.06</v>
      </c>
      <c r="AN114" s="1">
        <v>1.06</v>
      </c>
      <c r="AO114" s="13">
        <f t="shared" ref="AO114:AO115" si="28">ROUNDDOWN(AM114*AJ114+AN114,2)</f>
        <v>1.04</v>
      </c>
      <c r="AP114" s="14">
        <f t="shared" si="20"/>
        <v>0.93</v>
      </c>
    </row>
    <row r="115" spans="31:42">
      <c r="AE115" s="1">
        <v>3</v>
      </c>
      <c r="AF115" s="1" t="s">
        <v>205</v>
      </c>
      <c r="AG115" s="22" t="s">
        <v>0</v>
      </c>
      <c r="AH115" s="1" t="s">
        <v>221</v>
      </c>
      <c r="AI115" s="1" t="str">
        <f t="shared" si="23"/>
        <v>3冷房その他導入予定設備</v>
      </c>
      <c r="AJ115" s="21">
        <f>導入予定設備!M48</f>
        <v>0.27300000000000002</v>
      </c>
      <c r="AK115" s="14">
        <v>0.96</v>
      </c>
      <c r="AL115" s="14">
        <v>1.07</v>
      </c>
      <c r="AM115" s="1">
        <v>-0.14000000000000001</v>
      </c>
      <c r="AN115" s="1">
        <v>1.1399999999999999</v>
      </c>
      <c r="AO115" s="13">
        <f t="shared" si="28"/>
        <v>1.1000000000000001</v>
      </c>
      <c r="AP115" s="14">
        <f t="shared" si="20"/>
        <v>0.96</v>
      </c>
    </row>
    <row r="116" spans="31:42">
      <c r="AE116" s="1">
        <v>4</v>
      </c>
      <c r="AF116" s="1" t="s">
        <v>205</v>
      </c>
      <c r="AG116" s="22" t="s">
        <v>1</v>
      </c>
      <c r="AH116" s="1" t="s">
        <v>220</v>
      </c>
      <c r="AI116" s="1" t="str">
        <f t="shared" si="23"/>
        <v>4暖房その他既存設備</v>
      </c>
      <c r="AJ116" s="21">
        <f>既存設備!M37</f>
        <v>0.16</v>
      </c>
      <c r="AK116" s="14">
        <v>0.9</v>
      </c>
      <c r="AL116" s="14">
        <v>1</v>
      </c>
      <c r="AM116" s="1"/>
      <c r="AN116" s="1"/>
      <c r="AO116" s="14">
        <v>1</v>
      </c>
      <c r="AP116" s="14">
        <f t="shared" si="20"/>
        <v>0.9</v>
      </c>
    </row>
    <row r="117" spans="31:42">
      <c r="AE117" s="1">
        <v>4</v>
      </c>
      <c r="AF117" s="1" t="s">
        <v>205</v>
      </c>
      <c r="AG117" s="22" t="s">
        <v>1</v>
      </c>
      <c r="AH117" s="1" t="s">
        <v>221</v>
      </c>
      <c r="AI117" s="1" t="str">
        <f t="shared" si="23"/>
        <v>4暖房その他導入予定設備</v>
      </c>
      <c r="AJ117" s="21">
        <f>導入予定設備!M37</f>
        <v>0.16</v>
      </c>
      <c r="AK117" s="14">
        <v>0.9</v>
      </c>
      <c r="AL117" s="14">
        <v>1</v>
      </c>
      <c r="AM117" s="1"/>
      <c r="AN117" s="1"/>
      <c r="AO117" s="14">
        <v>1</v>
      </c>
      <c r="AP117" s="14">
        <f t="shared" si="20"/>
        <v>0.9</v>
      </c>
    </row>
    <row r="118" spans="31:42">
      <c r="AE118" s="1">
        <v>4</v>
      </c>
      <c r="AF118" s="1" t="s">
        <v>205</v>
      </c>
      <c r="AG118" s="22" t="s">
        <v>0</v>
      </c>
      <c r="AH118" s="1" t="s">
        <v>220</v>
      </c>
      <c r="AI118" s="1" t="str">
        <f t="shared" si="23"/>
        <v>4冷房その他既存設備</v>
      </c>
      <c r="AJ118" s="21">
        <f>既存設備!M37</f>
        <v>0.16</v>
      </c>
      <c r="AK118" s="14">
        <v>0.93</v>
      </c>
      <c r="AL118" s="14">
        <v>1.03</v>
      </c>
      <c r="AM118" s="1">
        <v>-0.06</v>
      </c>
      <c r="AN118" s="1">
        <v>1.06</v>
      </c>
      <c r="AO118" s="13">
        <f t="shared" ref="AO118:AO119" si="29">ROUNDDOWN(AM118*AJ118+AN118,2)</f>
        <v>1.05</v>
      </c>
      <c r="AP118" s="14">
        <f t="shared" si="20"/>
        <v>0.93</v>
      </c>
    </row>
    <row r="119" spans="31:42">
      <c r="AE119" s="1">
        <v>4</v>
      </c>
      <c r="AF119" s="1" t="s">
        <v>205</v>
      </c>
      <c r="AG119" s="22" t="s">
        <v>0</v>
      </c>
      <c r="AH119" s="1" t="s">
        <v>221</v>
      </c>
      <c r="AI119" s="1" t="str">
        <f t="shared" si="23"/>
        <v>4冷房その他導入予定設備</v>
      </c>
      <c r="AJ119" s="21">
        <f>導入予定設備!M37</f>
        <v>0.16</v>
      </c>
      <c r="AK119" s="14">
        <v>0.96</v>
      </c>
      <c r="AL119" s="14">
        <v>1.07</v>
      </c>
      <c r="AM119" s="1">
        <v>-0.14000000000000001</v>
      </c>
      <c r="AN119" s="1">
        <v>1.1399999999999999</v>
      </c>
      <c r="AO119" s="13">
        <f t="shared" si="29"/>
        <v>1.1100000000000001</v>
      </c>
      <c r="AP119" s="14">
        <f t="shared" si="20"/>
        <v>0.96</v>
      </c>
    </row>
    <row r="120" spans="31:42">
      <c r="AE120" s="1">
        <v>5</v>
      </c>
      <c r="AF120" s="1" t="s">
        <v>205</v>
      </c>
      <c r="AG120" s="22" t="s">
        <v>1</v>
      </c>
      <c r="AH120" s="1" t="s">
        <v>220</v>
      </c>
      <c r="AI120" s="1" t="str">
        <f t="shared" si="23"/>
        <v>5暖房その他既存設備</v>
      </c>
      <c r="AJ120" s="21">
        <f>既存設備!M38</f>
        <v>0.29599999999999999</v>
      </c>
      <c r="AK120" s="14">
        <v>0.9</v>
      </c>
      <c r="AL120" s="14">
        <v>1</v>
      </c>
      <c r="AM120" s="1"/>
      <c r="AN120" s="1"/>
      <c r="AO120" s="14">
        <v>1</v>
      </c>
      <c r="AP120" s="14">
        <f t="shared" si="20"/>
        <v>0.9</v>
      </c>
    </row>
    <row r="121" spans="31:42">
      <c r="AE121" s="1">
        <v>5</v>
      </c>
      <c r="AF121" s="1" t="s">
        <v>205</v>
      </c>
      <c r="AG121" s="22" t="s">
        <v>1</v>
      </c>
      <c r="AH121" s="1" t="s">
        <v>221</v>
      </c>
      <c r="AI121" s="1" t="str">
        <f t="shared" si="23"/>
        <v>5暖房その他導入予定設備</v>
      </c>
      <c r="AJ121" s="21">
        <f>導入予定設備!M38</f>
        <v>0.29599999999999999</v>
      </c>
      <c r="AK121" s="14">
        <v>0.9</v>
      </c>
      <c r="AL121" s="14">
        <v>1</v>
      </c>
      <c r="AM121" s="1"/>
      <c r="AN121" s="1"/>
      <c r="AO121" s="14">
        <v>1</v>
      </c>
      <c r="AP121" s="14">
        <f t="shared" si="20"/>
        <v>0.9</v>
      </c>
    </row>
    <row r="122" spans="31:42">
      <c r="AE122" s="1">
        <v>5</v>
      </c>
      <c r="AF122" s="1" t="s">
        <v>205</v>
      </c>
      <c r="AG122" s="22" t="s">
        <v>0</v>
      </c>
      <c r="AH122" s="1" t="s">
        <v>220</v>
      </c>
      <c r="AI122" s="1" t="str">
        <f t="shared" si="23"/>
        <v>5冷房その他既存設備</v>
      </c>
      <c r="AJ122" s="21">
        <f>既存設備!M38</f>
        <v>0.29599999999999999</v>
      </c>
      <c r="AK122" s="14">
        <v>0.93</v>
      </c>
      <c r="AL122" s="14">
        <v>1.03</v>
      </c>
      <c r="AM122" s="1">
        <v>-0.06</v>
      </c>
      <c r="AN122" s="1">
        <v>1.06</v>
      </c>
      <c r="AO122" s="13">
        <f t="shared" ref="AO122:AO123" si="30">ROUNDDOWN(AM122*AJ122+AN122,2)</f>
        <v>1.04</v>
      </c>
      <c r="AP122" s="14">
        <f t="shared" si="20"/>
        <v>0.93</v>
      </c>
    </row>
    <row r="123" spans="31:42">
      <c r="AE123" s="1">
        <v>5</v>
      </c>
      <c r="AF123" s="1" t="s">
        <v>205</v>
      </c>
      <c r="AG123" s="22" t="s">
        <v>0</v>
      </c>
      <c r="AH123" s="1" t="s">
        <v>221</v>
      </c>
      <c r="AI123" s="1" t="str">
        <f t="shared" si="23"/>
        <v>5冷房その他導入予定設備</v>
      </c>
      <c r="AJ123" s="21">
        <f>導入予定設備!M38</f>
        <v>0.29599999999999999</v>
      </c>
      <c r="AK123" s="14">
        <v>0.96</v>
      </c>
      <c r="AL123" s="14">
        <v>1.07</v>
      </c>
      <c r="AM123" s="1">
        <v>-0.14000000000000001</v>
      </c>
      <c r="AN123" s="1">
        <v>1.1399999999999999</v>
      </c>
      <c r="AO123" s="13">
        <f t="shared" si="30"/>
        <v>1.0900000000000001</v>
      </c>
      <c r="AP123" s="14">
        <f t="shared" si="20"/>
        <v>0.96</v>
      </c>
    </row>
    <row r="124" spans="31:42">
      <c r="AE124" s="1">
        <v>6</v>
      </c>
      <c r="AF124" s="1" t="s">
        <v>205</v>
      </c>
      <c r="AG124" s="22" t="s">
        <v>1</v>
      </c>
      <c r="AH124" s="1" t="s">
        <v>220</v>
      </c>
      <c r="AI124" s="1" t="str">
        <f t="shared" si="23"/>
        <v>6暖房その他既存設備</v>
      </c>
      <c r="AJ124" s="21">
        <f>既存設備!M39</f>
        <v>0.435</v>
      </c>
      <c r="AK124" s="14">
        <v>0.9</v>
      </c>
      <c r="AL124" s="14">
        <v>1</v>
      </c>
      <c r="AM124" s="1"/>
      <c r="AN124" s="1"/>
      <c r="AO124" s="14">
        <v>1</v>
      </c>
      <c r="AP124" s="14">
        <f t="shared" si="20"/>
        <v>1</v>
      </c>
    </row>
    <row r="125" spans="31:42">
      <c r="AE125" s="1">
        <v>6</v>
      </c>
      <c r="AF125" s="1" t="s">
        <v>205</v>
      </c>
      <c r="AG125" s="22" t="s">
        <v>1</v>
      </c>
      <c r="AH125" s="1" t="s">
        <v>221</v>
      </c>
      <c r="AI125" s="1" t="str">
        <f t="shared" si="23"/>
        <v>6暖房その他導入予定設備</v>
      </c>
      <c r="AJ125" s="21">
        <f>導入予定設備!M39</f>
        <v>0.435</v>
      </c>
      <c r="AK125" s="14">
        <v>0.9</v>
      </c>
      <c r="AL125" s="14">
        <v>1</v>
      </c>
      <c r="AM125" s="1"/>
      <c r="AN125" s="1"/>
      <c r="AO125" s="14">
        <v>1</v>
      </c>
      <c r="AP125" s="14">
        <f t="shared" si="20"/>
        <v>1</v>
      </c>
    </row>
    <row r="126" spans="31:42">
      <c r="AE126" s="1">
        <v>6</v>
      </c>
      <c r="AF126" s="1" t="s">
        <v>205</v>
      </c>
      <c r="AG126" s="22" t="s">
        <v>0</v>
      </c>
      <c r="AH126" s="1" t="s">
        <v>220</v>
      </c>
      <c r="AI126" s="1" t="str">
        <f t="shared" si="23"/>
        <v>6冷房その他既存設備</v>
      </c>
      <c r="AJ126" s="21">
        <f>既存設備!M39</f>
        <v>0.435</v>
      </c>
      <c r="AK126" s="14">
        <v>0.93</v>
      </c>
      <c r="AL126" s="14">
        <v>1.03</v>
      </c>
      <c r="AM126" s="1">
        <v>-0.06</v>
      </c>
      <c r="AN126" s="1">
        <v>1.06</v>
      </c>
      <c r="AO126" s="13">
        <f t="shared" ref="AO126:AO127" si="31">ROUNDDOWN(AM126*AJ126+AN126,2)</f>
        <v>1.03</v>
      </c>
      <c r="AP126" s="14">
        <f t="shared" si="20"/>
        <v>1.03</v>
      </c>
    </row>
    <row r="127" spans="31:42">
      <c r="AE127" s="1">
        <v>6</v>
      </c>
      <c r="AF127" s="1" t="s">
        <v>205</v>
      </c>
      <c r="AG127" s="22" t="s">
        <v>0</v>
      </c>
      <c r="AH127" s="1" t="s">
        <v>221</v>
      </c>
      <c r="AI127" s="1" t="str">
        <f t="shared" si="23"/>
        <v>6冷房その他導入予定設備</v>
      </c>
      <c r="AJ127" s="21">
        <f>導入予定設備!M39</f>
        <v>0.435</v>
      </c>
      <c r="AK127" s="14">
        <v>0.96</v>
      </c>
      <c r="AL127" s="14">
        <v>1.07</v>
      </c>
      <c r="AM127" s="1">
        <v>-0.14000000000000001</v>
      </c>
      <c r="AN127" s="1">
        <v>1.1399999999999999</v>
      </c>
      <c r="AO127" s="13">
        <f t="shared" si="31"/>
        <v>1.07</v>
      </c>
      <c r="AP127" s="14">
        <f t="shared" si="20"/>
        <v>1.07</v>
      </c>
    </row>
    <row r="128" spans="31:42">
      <c r="AE128" s="1">
        <v>7</v>
      </c>
      <c r="AF128" s="1" t="s">
        <v>205</v>
      </c>
      <c r="AG128" s="22" t="s">
        <v>1</v>
      </c>
      <c r="AH128" s="1" t="s">
        <v>220</v>
      </c>
      <c r="AI128" s="1" t="str">
        <f t="shared" si="23"/>
        <v>7暖房その他既存設備</v>
      </c>
      <c r="AJ128" s="21">
        <f>既存設備!M40</f>
        <v>0.64100000000000001</v>
      </c>
      <c r="AK128" s="14">
        <v>0.9</v>
      </c>
      <c r="AL128" s="14">
        <v>1</v>
      </c>
      <c r="AM128" s="1"/>
      <c r="AN128" s="1"/>
      <c r="AO128" s="14">
        <v>1</v>
      </c>
      <c r="AP128" s="14">
        <f t="shared" si="20"/>
        <v>1</v>
      </c>
    </row>
    <row r="129" spans="31:42">
      <c r="AE129" s="1">
        <v>7</v>
      </c>
      <c r="AF129" s="1" t="s">
        <v>205</v>
      </c>
      <c r="AG129" s="22" t="s">
        <v>1</v>
      </c>
      <c r="AH129" s="1" t="s">
        <v>221</v>
      </c>
      <c r="AI129" s="1" t="str">
        <f t="shared" si="23"/>
        <v>7暖房その他導入予定設備</v>
      </c>
      <c r="AJ129" s="21">
        <f>導入予定設備!M40</f>
        <v>0.64100000000000001</v>
      </c>
      <c r="AK129" s="14">
        <v>0.9</v>
      </c>
      <c r="AL129" s="14">
        <v>1</v>
      </c>
      <c r="AM129" s="1"/>
      <c r="AN129" s="1"/>
      <c r="AO129" s="14">
        <v>1</v>
      </c>
      <c r="AP129" s="14">
        <f t="shared" si="20"/>
        <v>1</v>
      </c>
    </row>
    <row r="130" spans="31:42">
      <c r="AE130" s="1">
        <v>7</v>
      </c>
      <c r="AF130" s="1" t="s">
        <v>205</v>
      </c>
      <c r="AG130" s="22" t="s">
        <v>0</v>
      </c>
      <c r="AH130" s="1" t="s">
        <v>220</v>
      </c>
      <c r="AI130" s="1" t="str">
        <f t="shared" si="23"/>
        <v>7冷房その他既存設備</v>
      </c>
      <c r="AJ130" s="21">
        <f>既存設備!M40</f>
        <v>0.64100000000000001</v>
      </c>
      <c r="AK130" s="14">
        <v>0.93</v>
      </c>
      <c r="AL130" s="14">
        <v>1.03</v>
      </c>
      <c r="AM130" s="1">
        <v>-0.06</v>
      </c>
      <c r="AN130" s="1">
        <v>1.06</v>
      </c>
      <c r="AO130" s="13">
        <f t="shared" ref="AO130:AO131" si="32">ROUNDDOWN(AM130*AJ130+AN130,2)</f>
        <v>1.02</v>
      </c>
      <c r="AP130" s="14">
        <f t="shared" si="20"/>
        <v>1.02</v>
      </c>
    </row>
    <row r="131" spans="31:42">
      <c r="AE131" s="1">
        <v>7</v>
      </c>
      <c r="AF131" s="1" t="s">
        <v>205</v>
      </c>
      <c r="AG131" s="22" t="s">
        <v>0</v>
      </c>
      <c r="AH131" s="1" t="s">
        <v>221</v>
      </c>
      <c r="AI131" s="1" t="str">
        <f t="shared" si="23"/>
        <v>7冷房その他導入予定設備</v>
      </c>
      <c r="AJ131" s="21">
        <f>導入予定設備!M40</f>
        <v>0.64100000000000001</v>
      </c>
      <c r="AK131" s="14">
        <v>0.96</v>
      </c>
      <c r="AL131" s="14">
        <v>1.07</v>
      </c>
      <c r="AM131" s="1">
        <v>-0.14000000000000001</v>
      </c>
      <c r="AN131" s="1">
        <v>1.1399999999999999</v>
      </c>
      <c r="AO131" s="13">
        <f t="shared" si="32"/>
        <v>1.05</v>
      </c>
      <c r="AP131" s="14">
        <f t="shared" si="20"/>
        <v>1.05</v>
      </c>
    </row>
    <row r="132" spans="31:42">
      <c r="AE132" s="1">
        <v>8</v>
      </c>
      <c r="AF132" s="1" t="s">
        <v>205</v>
      </c>
      <c r="AG132" s="22" t="s">
        <v>1</v>
      </c>
      <c r="AH132" s="1" t="s">
        <v>220</v>
      </c>
      <c r="AI132" s="1" t="str">
        <f t="shared" si="23"/>
        <v>8暖房その他既存設備</v>
      </c>
      <c r="AJ132" s="21">
        <f>既存設備!M41</f>
        <v>0.69299999999999995</v>
      </c>
      <c r="AK132" s="14">
        <v>0.9</v>
      </c>
      <c r="AL132" s="14">
        <v>1</v>
      </c>
      <c r="AM132" s="1"/>
      <c r="AN132" s="1"/>
      <c r="AO132" s="14">
        <v>1</v>
      </c>
      <c r="AP132" s="14">
        <f t="shared" si="20"/>
        <v>1</v>
      </c>
    </row>
    <row r="133" spans="31:42">
      <c r="AE133" s="1">
        <v>8</v>
      </c>
      <c r="AF133" s="1" t="s">
        <v>205</v>
      </c>
      <c r="AG133" s="22" t="s">
        <v>1</v>
      </c>
      <c r="AH133" s="1" t="s">
        <v>221</v>
      </c>
      <c r="AI133" s="1" t="str">
        <f t="shared" si="23"/>
        <v>8暖房その他導入予定設備</v>
      </c>
      <c r="AJ133" s="21">
        <f>導入予定設備!M41</f>
        <v>0.69299999999999995</v>
      </c>
      <c r="AK133" s="14">
        <v>0.9</v>
      </c>
      <c r="AL133" s="14">
        <v>1</v>
      </c>
      <c r="AM133" s="1"/>
      <c r="AN133" s="1"/>
      <c r="AO133" s="14">
        <v>1</v>
      </c>
      <c r="AP133" s="14">
        <f t="shared" si="20"/>
        <v>1</v>
      </c>
    </row>
    <row r="134" spans="31:42">
      <c r="AE134" s="1">
        <v>8</v>
      </c>
      <c r="AF134" s="1" t="s">
        <v>205</v>
      </c>
      <c r="AG134" s="22" t="s">
        <v>0</v>
      </c>
      <c r="AH134" s="1" t="s">
        <v>220</v>
      </c>
      <c r="AI134" s="1" t="str">
        <f t="shared" si="23"/>
        <v>8冷房その他既存設備</v>
      </c>
      <c r="AJ134" s="21">
        <f>既存設備!M41</f>
        <v>0.69299999999999995</v>
      </c>
      <c r="AK134" s="14">
        <v>0.93</v>
      </c>
      <c r="AL134" s="14">
        <v>1.03</v>
      </c>
      <c r="AM134" s="1">
        <v>-0.06</v>
      </c>
      <c r="AN134" s="1">
        <v>1.06</v>
      </c>
      <c r="AO134" s="13">
        <f t="shared" ref="AO134:AO135" si="33">ROUNDDOWN(AM134*AJ134+AN134,2)</f>
        <v>1.01</v>
      </c>
      <c r="AP134" s="14">
        <f t="shared" si="20"/>
        <v>1.01</v>
      </c>
    </row>
    <row r="135" spans="31:42">
      <c r="AE135" s="1">
        <v>8</v>
      </c>
      <c r="AF135" s="1" t="s">
        <v>205</v>
      </c>
      <c r="AG135" s="22" t="s">
        <v>0</v>
      </c>
      <c r="AH135" s="1" t="s">
        <v>221</v>
      </c>
      <c r="AI135" s="1" t="str">
        <f t="shared" si="23"/>
        <v>8冷房その他導入予定設備</v>
      </c>
      <c r="AJ135" s="21">
        <f>導入予定設備!M41</f>
        <v>0.69299999999999995</v>
      </c>
      <c r="AK135" s="14">
        <v>0.96</v>
      </c>
      <c r="AL135" s="14">
        <v>1.07</v>
      </c>
      <c r="AM135" s="1">
        <v>-0.14000000000000001</v>
      </c>
      <c r="AN135" s="1">
        <v>1.1399999999999999</v>
      </c>
      <c r="AO135" s="13">
        <f t="shared" si="33"/>
        <v>1.04</v>
      </c>
      <c r="AP135" s="14">
        <f t="shared" si="20"/>
        <v>1.04</v>
      </c>
    </row>
    <row r="136" spans="31:42">
      <c r="AE136" s="1">
        <v>9</v>
      </c>
      <c r="AF136" s="1" t="s">
        <v>205</v>
      </c>
      <c r="AG136" s="22" t="s">
        <v>1</v>
      </c>
      <c r="AH136" s="1" t="s">
        <v>220</v>
      </c>
      <c r="AI136" s="1" t="str">
        <f t="shared" si="23"/>
        <v>9暖房その他既存設備</v>
      </c>
      <c r="AJ136" s="21">
        <f>既存設備!M42</f>
        <v>0.47</v>
      </c>
      <c r="AK136" s="14">
        <v>0.9</v>
      </c>
      <c r="AL136" s="14">
        <v>1</v>
      </c>
      <c r="AM136" s="1"/>
      <c r="AN136" s="1"/>
      <c r="AO136" s="14">
        <v>1</v>
      </c>
      <c r="AP136" s="14">
        <f t="shared" si="20"/>
        <v>1</v>
      </c>
    </row>
    <row r="137" spans="31:42">
      <c r="AE137" s="1">
        <v>9</v>
      </c>
      <c r="AF137" s="1" t="s">
        <v>205</v>
      </c>
      <c r="AG137" s="22" t="s">
        <v>1</v>
      </c>
      <c r="AH137" s="1" t="s">
        <v>221</v>
      </c>
      <c r="AI137" s="1" t="str">
        <f t="shared" si="23"/>
        <v>9暖房その他導入予定設備</v>
      </c>
      <c r="AJ137" s="21">
        <f>導入予定設備!M42</f>
        <v>0.47</v>
      </c>
      <c r="AK137" s="14">
        <v>0.9</v>
      </c>
      <c r="AL137" s="14">
        <v>1</v>
      </c>
      <c r="AM137" s="1"/>
      <c r="AN137" s="1"/>
      <c r="AO137" s="14">
        <v>1</v>
      </c>
      <c r="AP137" s="14">
        <f t="shared" ref="AP137:AP151" si="34">IF(AJ137&gt;=0.5,AO137,IF(AJ137&gt;=0.3,AL137,AK137))</f>
        <v>1</v>
      </c>
    </row>
    <row r="138" spans="31:42">
      <c r="AE138" s="1">
        <v>9</v>
      </c>
      <c r="AF138" s="1" t="s">
        <v>205</v>
      </c>
      <c r="AG138" s="22" t="s">
        <v>0</v>
      </c>
      <c r="AH138" s="1" t="s">
        <v>220</v>
      </c>
      <c r="AI138" s="1" t="str">
        <f t="shared" si="23"/>
        <v>9冷房その他既存設備</v>
      </c>
      <c r="AJ138" s="21">
        <f>既存設備!M42</f>
        <v>0.47</v>
      </c>
      <c r="AK138" s="14">
        <v>0.93</v>
      </c>
      <c r="AL138" s="14">
        <v>1.03</v>
      </c>
      <c r="AM138" s="1">
        <v>-0.06</v>
      </c>
      <c r="AN138" s="1">
        <v>1.06</v>
      </c>
      <c r="AO138" s="13">
        <f t="shared" ref="AO138:AO139" si="35">ROUNDDOWN(AM138*AJ138+AN138,2)</f>
        <v>1.03</v>
      </c>
      <c r="AP138" s="14">
        <f t="shared" si="34"/>
        <v>1.03</v>
      </c>
    </row>
    <row r="139" spans="31:42">
      <c r="AE139" s="1">
        <v>9</v>
      </c>
      <c r="AF139" s="1" t="s">
        <v>205</v>
      </c>
      <c r="AG139" s="22" t="s">
        <v>0</v>
      </c>
      <c r="AH139" s="1" t="s">
        <v>221</v>
      </c>
      <c r="AI139" s="1" t="str">
        <f t="shared" si="23"/>
        <v>9冷房その他導入予定設備</v>
      </c>
      <c r="AJ139" s="21">
        <f>導入予定設備!M42</f>
        <v>0.47</v>
      </c>
      <c r="AK139" s="14">
        <v>0.96</v>
      </c>
      <c r="AL139" s="14">
        <v>1.07</v>
      </c>
      <c r="AM139" s="1">
        <v>-0.14000000000000001</v>
      </c>
      <c r="AN139" s="1">
        <v>1.1399999999999999</v>
      </c>
      <c r="AO139" s="13">
        <f t="shared" si="35"/>
        <v>1.07</v>
      </c>
      <c r="AP139" s="14">
        <f t="shared" si="34"/>
        <v>1.07</v>
      </c>
    </row>
    <row r="140" spans="31:42">
      <c r="AE140" s="1">
        <v>10</v>
      </c>
      <c r="AF140" s="1" t="s">
        <v>205</v>
      </c>
      <c r="AG140" s="22" t="s">
        <v>1</v>
      </c>
      <c r="AH140" s="1" t="s">
        <v>220</v>
      </c>
      <c r="AI140" s="1" t="str">
        <f t="shared" si="23"/>
        <v>10暖房その他既存設備</v>
      </c>
      <c r="AJ140" s="21">
        <f>既存設備!M43</f>
        <v>0.36399999999999999</v>
      </c>
      <c r="AK140" s="14">
        <v>0.9</v>
      </c>
      <c r="AL140" s="14">
        <v>1</v>
      </c>
      <c r="AM140" s="1"/>
      <c r="AN140" s="1"/>
      <c r="AO140" s="14">
        <v>1</v>
      </c>
      <c r="AP140" s="14">
        <f t="shared" si="34"/>
        <v>1</v>
      </c>
    </row>
    <row r="141" spans="31:42">
      <c r="AE141" s="1">
        <v>10</v>
      </c>
      <c r="AF141" s="1" t="s">
        <v>205</v>
      </c>
      <c r="AG141" s="22" t="s">
        <v>1</v>
      </c>
      <c r="AH141" s="1" t="s">
        <v>221</v>
      </c>
      <c r="AI141" s="1" t="str">
        <f t="shared" si="23"/>
        <v>10暖房その他導入予定設備</v>
      </c>
      <c r="AJ141" s="21">
        <f>導入予定設備!M43</f>
        <v>0.36399999999999999</v>
      </c>
      <c r="AK141" s="14">
        <v>0.9</v>
      </c>
      <c r="AL141" s="14">
        <v>1</v>
      </c>
      <c r="AM141" s="1"/>
      <c r="AN141" s="1"/>
      <c r="AO141" s="14">
        <v>1</v>
      </c>
      <c r="AP141" s="14">
        <f t="shared" si="34"/>
        <v>1</v>
      </c>
    </row>
    <row r="142" spans="31:42">
      <c r="AE142" s="1">
        <v>10</v>
      </c>
      <c r="AF142" s="1" t="s">
        <v>205</v>
      </c>
      <c r="AG142" s="22" t="s">
        <v>0</v>
      </c>
      <c r="AH142" s="1" t="s">
        <v>220</v>
      </c>
      <c r="AI142" s="1" t="str">
        <f t="shared" si="23"/>
        <v>10冷房その他既存設備</v>
      </c>
      <c r="AJ142" s="21">
        <f>既存設備!M43</f>
        <v>0.36399999999999999</v>
      </c>
      <c r="AK142" s="14">
        <v>0.93</v>
      </c>
      <c r="AL142" s="14">
        <v>1.03</v>
      </c>
      <c r="AM142" s="1">
        <v>-0.06</v>
      </c>
      <c r="AN142" s="1">
        <v>1.06</v>
      </c>
      <c r="AO142" s="13">
        <f t="shared" ref="AO142:AO143" si="36">ROUNDDOWN(AM142*AJ142+AN142,2)</f>
        <v>1.03</v>
      </c>
      <c r="AP142" s="14">
        <f t="shared" si="34"/>
        <v>1.03</v>
      </c>
    </row>
    <row r="143" spans="31:42">
      <c r="AE143" s="1">
        <v>10</v>
      </c>
      <c r="AF143" s="1" t="s">
        <v>205</v>
      </c>
      <c r="AG143" s="22" t="s">
        <v>0</v>
      </c>
      <c r="AH143" s="1" t="s">
        <v>221</v>
      </c>
      <c r="AI143" s="1" t="str">
        <f t="shared" si="23"/>
        <v>10冷房その他導入予定設備</v>
      </c>
      <c r="AJ143" s="21">
        <f>導入予定設備!M43</f>
        <v>0.36399999999999999</v>
      </c>
      <c r="AK143" s="14">
        <v>0.96</v>
      </c>
      <c r="AL143" s="14">
        <v>1.07</v>
      </c>
      <c r="AM143" s="1">
        <v>-0.14000000000000001</v>
      </c>
      <c r="AN143" s="1">
        <v>1.1399999999999999</v>
      </c>
      <c r="AO143" s="13">
        <f t="shared" si="36"/>
        <v>1.08</v>
      </c>
      <c r="AP143" s="14">
        <f t="shared" si="34"/>
        <v>1.07</v>
      </c>
    </row>
    <row r="144" spans="31:42">
      <c r="AE144" s="1">
        <v>11</v>
      </c>
      <c r="AF144" s="1" t="s">
        <v>205</v>
      </c>
      <c r="AG144" s="22" t="s">
        <v>1</v>
      </c>
      <c r="AH144" s="1" t="s">
        <v>220</v>
      </c>
      <c r="AI144" s="1" t="str">
        <f t="shared" si="23"/>
        <v>11暖房その他既存設備</v>
      </c>
      <c r="AJ144" s="21">
        <f>既存設備!M44</f>
        <v>0.154</v>
      </c>
      <c r="AK144" s="14">
        <v>0.9</v>
      </c>
      <c r="AL144" s="14">
        <v>1</v>
      </c>
      <c r="AM144" s="1"/>
      <c r="AN144" s="1"/>
      <c r="AO144" s="14">
        <v>1</v>
      </c>
      <c r="AP144" s="14">
        <f t="shared" si="34"/>
        <v>0.9</v>
      </c>
    </row>
    <row r="145" spans="31:42">
      <c r="AE145" s="1">
        <v>11</v>
      </c>
      <c r="AF145" s="1" t="s">
        <v>205</v>
      </c>
      <c r="AG145" s="22" t="s">
        <v>1</v>
      </c>
      <c r="AH145" s="1" t="s">
        <v>221</v>
      </c>
      <c r="AI145" s="1" t="str">
        <f t="shared" si="23"/>
        <v>11暖房その他導入予定設備</v>
      </c>
      <c r="AJ145" s="21">
        <f>導入予定設備!M44</f>
        <v>0.154</v>
      </c>
      <c r="AK145" s="14">
        <v>0.9</v>
      </c>
      <c r="AL145" s="14">
        <v>1</v>
      </c>
      <c r="AM145" s="1"/>
      <c r="AN145" s="1"/>
      <c r="AO145" s="14">
        <v>1</v>
      </c>
      <c r="AP145" s="14">
        <f t="shared" si="34"/>
        <v>0.9</v>
      </c>
    </row>
    <row r="146" spans="31:42">
      <c r="AE146" s="1">
        <v>11</v>
      </c>
      <c r="AF146" s="1" t="s">
        <v>205</v>
      </c>
      <c r="AG146" s="22" t="s">
        <v>0</v>
      </c>
      <c r="AH146" s="1" t="s">
        <v>220</v>
      </c>
      <c r="AI146" s="1" t="str">
        <f t="shared" si="23"/>
        <v>11冷房その他既存設備</v>
      </c>
      <c r="AJ146" s="21">
        <f>既存設備!M44</f>
        <v>0.154</v>
      </c>
      <c r="AK146" s="14">
        <v>0.93</v>
      </c>
      <c r="AL146" s="14">
        <v>1.03</v>
      </c>
      <c r="AM146" s="1">
        <v>-0.06</v>
      </c>
      <c r="AN146" s="1">
        <v>1.06</v>
      </c>
      <c r="AO146" s="13">
        <f t="shared" ref="AO146:AO147" si="37">ROUNDDOWN(AM146*AJ146+AN146,2)</f>
        <v>1.05</v>
      </c>
      <c r="AP146" s="14">
        <f t="shared" si="34"/>
        <v>0.93</v>
      </c>
    </row>
    <row r="147" spans="31:42">
      <c r="AE147" s="1">
        <v>11</v>
      </c>
      <c r="AF147" s="1" t="s">
        <v>205</v>
      </c>
      <c r="AG147" s="22" t="s">
        <v>0</v>
      </c>
      <c r="AH147" s="1" t="s">
        <v>221</v>
      </c>
      <c r="AI147" s="1" t="str">
        <f t="shared" si="23"/>
        <v>11冷房その他導入予定設備</v>
      </c>
      <c r="AJ147" s="21">
        <f>導入予定設備!M44</f>
        <v>0.154</v>
      </c>
      <c r="AK147" s="14">
        <v>0.96</v>
      </c>
      <c r="AL147" s="14">
        <v>1.07</v>
      </c>
      <c r="AM147" s="1">
        <v>-0.14000000000000001</v>
      </c>
      <c r="AN147" s="1">
        <v>1.1399999999999999</v>
      </c>
      <c r="AO147" s="13">
        <f t="shared" si="37"/>
        <v>1.1100000000000001</v>
      </c>
      <c r="AP147" s="14">
        <f t="shared" si="34"/>
        <v>0.96</v>
      </c>
    </row>
    <row r="148" spans="31:42">
      <c r="AE148" s="1">
        <v>12</v>
      </c>
      <c r="AF148" s="1" t="s">
        <v>205</v>
      </c>
      <c r="AG148" s="22" t="s">
        <v>1</v>
      </c>
      <c r="AH148" s="1" t="s">
        <v>220</v>
      </c>
      <c r="AI148" s="1" t="str">
        <f t="shared" si="23"/>
        <v>12暖房その他既存設備</v>
      </c>
      <c r="AJ148" s="21">
        <f>既存設備!M45</f>
        <v>0.371</v>
      </c>
      <c r="AK148" s="14">
        <v>0.9</v>
      </c>
      <c r="AL148" s="14">
        <v>1</v>
      </c>
      <c r="AM148" s="1"/>
      <c r="AN148" s="1"/>
      <c r="AO148" s="14">
        <v>1</v>
      </c>
      <c r="AP148" s="14">
        <f t="shared" si="34"/>
        <v>1</v>
      </c>
    </row>
    <row r="149" spans="31:42">
      <c r="AE149" s="1">
        <v>12</v>
      </c>
      <c r="AF149" s="1" t="s">
        <v>205</v>
      </c>
      <c r="AG149" s="22" t="s">
        <v>1</v>
      </c>
      <c r="AH149" s="1" t="s">
        <v>221</v>
      </c>
      <c r="AI149" s="1" t="str">
        <f t="shared" si="23"/>
        <v>12暖房その他導入予定設備</v>
      </c>
      <c r="AJ149" s="21">
        <f>導入予定設備!M45</f>
        <v>0.371</v>
      </c>
      <c r="AK149" s="14">
        <v>0.9</v>
      </c>
      <c r="AL149" s="14">
        <v>1</v>
      </c>
      <c r="AM149" s="1"/>
      <c r="AN149" s="1"/>
      <c r="AO149" s="14">
        <v>1</v>
      </c>
      <c r="AP149" s="14">
        <f t="shared" si="34"/>
        <v>1</v>
      </c>
    </row>
    <row r="150" spans="31:42">
      <c r="AE150" s="1">
        <v>12</v>
      </c>
      <c r="AF150" s="1" t="s">
        <v>205</v>
      </c>
      <c r="AG150" s="22" t="s">
        <v>0</v>
      </c>
      <c r="AH150" s="1" t="s">
        <v>220</v>
      </c>
      <c r="AI150" s="1" t="str">
        <f t="shared" si="23"/>
        <v>12冷房その他既存設備</v>
      </c>
      <c r="AJ150" s="21">
        <f>既存設備!M45</f>
        <v>0.371</v>
      </c>
      <c r="AK150" s="14">
        <v>0.93</v>
      </c>
      <c r="AL150" s="14">
        <v>1.03</v>
      </c>
      <c r="AM150" s="1">
        <v>-0.06</v>
      </c>
      <c r="AN150" s="1">
        <v>1.06</v>
      </c>
      <c r="AO150" s="13">
        <f t="shared" ref="AO150:AO151" si="38">ROUNDDOWN(AM150*AJ150+AN150,2)</f>
        <v>1.03</v>
      </c>
      <c r="AP150" s="14">
        <f t="shared" si="34"/>
        <v>1.03</v>
      </c>
    </row>
    <row r="151" spans="31:42">
      <c r="AE151" s="1">
        <v>12</v>
      </c>
      <c r="AF151" s="1" t="s">
        <v>205</v>
      </c>
      <c r="AG151" s="22" t="s">
        <v>0</v>
      </c>
      <c r="AH151" s="1" t="s">
        <v>221</v>
      </c>
      <c r="AI151" s="1" t="str">
        <f t="shared" si="23"/>
        <v>12冷房その他導入予定設備</v>
      </c>
      <c r="AJ151" s="21">
        <f>導入予定設備!M45</f>
        <v>0.371</v>
      </c>
      <c r="AK151" s="14">
        <v>0.96</v>
      </c>
      <c r="AL151" s="14">
        <v>1.07</v>
      </c>
      <c r="AM151" s="1">
        <v>-0.14000000000000001</v>
      </c>
      <c r="AN151" s="1">
        <v>1.1399999999999999</v>
      </c>
      <c r="AO151" s="13">
        <f t="shared" si="38"/>
        <v>1.08</v>
      </c>
      <c r="AP151" s="14">
        <f t="shared" si="34"/>
        <v>1.07</v>
      </c>
    </row>
  </sheetData>
  <autoFilter ref="AE6:AJ103" xr:uid="{00000000-0009-0000-0000-000002000000}"/>
  <mergeCells count="5">
    <mergeCell ref="AJ6:AJ7"/>
    <mergeCell ref="AM6:AO6"/>
    <mergeCell ref="AK6:AK7"/>
    <mergeCell ref="AL6:AL7"/>
    <mergeCell ref="AP6:AP7"/>
  </mergeCells>
  <phoneticPr fontId="1"/>
  <pageMargins left="0.31496062992125984" right="0.31496062992125984" top="0" bottom="0" header="0.31496062992125984" footer="0.31496062992125984"/>
  <pageSetup paperSize="8" scale="4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既存設備</vt:lpstr>
      <vt:lpstr>導入予定設備</vt:lpstr>
      <vt:lpstr>&lt;吸収式&gt;マスタ</vt:lpstr>
      <vt:lpstr>'&lt;吸収式&gt;マスタ'!Print_Area</vt:lpstr>
      <vt:lpstr>既存設備!Print_Area</vt:lpstr>
      <vt:lpstr>導入予定設備!Print_Area</vt:lpstr>
      <vt:lpstr>導入予定設備!Print_Titles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2017-05-18T09:22:27Z</dcterms:created>
  <dcterms:modified xsi:type="dcterms:W3CDTF">2025-03-28T06:14:19Z</dcterms:modified>
</cp:coreProperties>
</file>