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EDF19849-67F0-4624-BBD6-A624D2A9905F}" revIDLastSave="0" xr10:uidLastSave="{00000000-0000-0000-0000-000000000000}"/>
  <bookViews>
    <workbookView activeTab="1" firstSheet="1" xr2:uid="{00000000-000D-0000-FFFF-FFFF00000000}" windowHeight="4704" windowWidth="15300" xWindow="32760" yWindow="32760"/>
  </bookViews>
  <sheets>
    <sheet r:id="rId1" name="回復済み_Sheet1" sheetId="1" state="veryHidden"/>
    <sheet r:id="rId2" name="R6" sheetId="16"/>
    <sheet r:id="rId3" name="R5" sheetId="15"/>
    <sheet r:id="rId4" name="R4" sheetId="14"/>
    <sheet r:id="rId5" name="R3" sheetId="13"/>
    <sheet r:id="rId6" name="R2" sheetId="12"/>
    <sheet r:id="rId7" name="R1" sheetId="11"/>
    <sheet r:id="rId8" name="Ｈ30" sheetId="10"/>
    <sheet r:id="rId9" name="Ｈ29" sheetId="9"/>
    <sheet r:id="rId10" name="Ｈ28" sheetId="8"/>
    <sheet r:id="rId11" name="Ｈ27" sheetId="7"/>
    <sheet r:id="rId12" name="Ｈ26" sheetId="6"/>
    <sheet r:id="rId13" name="Ｈ25" sheetId="5"/>
    <sheet r:id="rId14" name="Ｈ24" sheetId="4"/>
    <sheet r:id="rId15" name="Ｈ23" sheetId="3"/>
  </sheets>
  <definedNames>
    <definedName localSheetId="14" name="_xlnm.Print_Area">'Ｈ23'!$A$1:$K$35</definedName>
    <definedName localSheetId="13" name="_xlnm.Print_Area">'Ｈ24'!$A$1:$K$35</definedName>
    <definedName localSheetId="12" name="_xlnm.Print_Area">'Ｈ25'!$A$1:$K$35</definedName>
    <definedName localSheetId="11" name="_xlnm.Print_Area">'Ｈ26'!$A$1:$K$35</definedName>
    <definedName localSheetId="10" name="_xlnm.Print_Area">'Ｈ27'!$A$1:$K$35</definedName>
    <definedName localSheetId="9" name="_xlnm.Print_Area">'Ｈ28'!$A$1:$K$35</definedName>
    <definedName localSheetId="8" name="_xlnm.Print_Area">'Ｈ29'!$A$1:$K$35</definedName>
    <definedName localSheetId="7" name="_xlnm.Print_Area">'Ｈ30'!$A$1:$K$35</definedName>
    <definedName localSheetId="6" name="_xlnm.Print_Area">'R1'!$A$1:$K$35</definedName>
    <definedName localSheetId="5" name="_xlnm.Print_Area">'R2'!$A$1:$K$35</definedName>
    <definedName localSheetId="4" name="_xlnm.Print_Area">'R3'!$A$1:$K$35</definedName>
    <definedName localSheetId="3" name="_xlnm.Print_Area">'R4'!$A$1:$K$35</definedName>
    <definedName localSheetId="2" name="_xlnm.Print_Area">'R5'!$A$1:$K$35</definedName>
    <definedName localSheetId="1" name="_xlnm.Print_Area">'R6'!$A$1:$K$20</definedName>
  </definedNames>
  <calcPr calcId="191029"/>
</workbook>
</file>

<file path=xl/calcChain.xml><?xml version="1.0" encoding="utf-8"?>
<calcChain xmlns="http://schemas.openxmlformats.org/spreadsheetml/2006/main">
  <c r="H5" i="13" l="1"/>
  <c r="H6" i="13"/>
  <c r="G6" i="13"/>
  <c r="F6" i="13"/>
  <c r="J10" i="14"/>
  <c r="I10" i="14"/>
  <c r="F10" i="14"/>
  <c r="H9" i="14"/>
  <c r="G9" i="14"/>
  <c r="F9" i="14"/>
  <c r="H6" i="14"/>
  <c r="G6" i="14"/>
  <c r="F6" i="14"/>
  <c r="H5" i="14"/>
  <c r="I14" i="15"/>
  <c r="F14" i="15"/>
  <c r="J10" i="15"/>
  <c r="I10" i="15"/>
  <c r="F10" i="15"/>
  <c r="H5" i="15"/>
  <c r="H6" i="15"/>
  <c r="G6" i="15"/>
  <c r="F6" i="15"/>
  <c r="F9" i="15"/>
  <c r="F11" i="15"/>
  <c r="F10" i="16"/>
  <c r="J9" i="16"/>
  <c r="I9" i="16"/>
  <c r="H10" i="16"/>
  <c r="I10" i="16"/>
  <c r="I14" i="16"/>
  <c r="I15" i="16"/>
  <c r="F14" i="16"/>
  <c r="F15" i="16"/>
  <c r="F6" i="16"/>
  <c r="F9" i="16"/>
  <c r="G6" i="16"/>
  <c r="G9" i="16"/>
  <c r="G11" i="16"/>
  <c r="G16" i="16"/>
  <c r="H6" i="16"/>
  <c r="H5" i="16"/>
  <c r="J11" i="16"/>
  <c r="J16" i="16"/>
  <c r="K11" i="16"/>
  <c r="K16" i="16"/>
  <c r="I32" i="14"/>
  <c r="F32" i="14"/>
  <c r="K28" i="14"/>
  <c r="K33" i="14"/>
  <c r="J28" i="14"/>
  <c r="J33" i="14"/>
  <c r="I28" i="14"/>
  <c r="I33" i="14"/>
  <c r="H28" i="14"/>
  <c r="H33" i="14"/>
  <c r="F28" i="14"/>
  <c r="F33" i="14"/>
  <c r="H26" i="14"/>
  <c r="G26" i="14"/>
  <c r="G28" i="14"/>
  <c r="G33" i="14"/>
  <c r="F26" i="14"/>
  <c r="I32" i="15"/>
  <c r="F32" i="15"/>
  <c r="K28" i="15"/>
  <c r="K33" i="15"/>
  <c r="J28" i="15"/>
  <c r="J33" i="15"/>
  <c r="I28" i="15"/>
  <c r="I33" i="15"/>
  <c r="H26" i="15"/>
  <c r="H28" i="15"/>
  <c r="H33" i="15"/>
  <c r="G26" i="15"/>
  <c r="G28" i="15"/>
  <c r="G33" i="15"/>
  <c r="F26" i="15"/>
  <c r="F28" i="15"/>
  <c r="F33" i="15"/>
  <c r="I15" i="15"/>
  <c r="F15" i="15"/>
  <c r="K11" i="15"/>
  <c r="K16" i="15"/>
  <c r="J11" i="15"/>
  <c r="J16" i="15"/>
  <c r="I11" i="15"/>
  <c r="H9" i="15"/>
  <c r="G9" i="15"/>
  <c r="G11" i="15"/>
  <c r="G16" i="15"/>
  <c r="I32" i="13"/>
  <c r="F32" i="13"/>
  <c r="K28" i="13"/>
  <c r="K33" i="13"/>
  <c r="J28" i="13"/>
  <c r="J33" i="13"/>
  <c r="I28" i="13"/>
  <c r="I33" i="13"/>
  <c r="H26" i="13"/>
  <c r="H28" i="13"/>
  <c r="H33" i="13"/>
  <c r="G26" i="13"/>
  <c r="G28" i="13"/>
  <c r="G33" i="13"/>
  <c r="F26" i="13"/>
  <c r="F28" i="13"/>
  <c r="F33" i="13"/>
  <c r="I15" i="13"/>
  <c r="F15" i="13"/>
  <c r="K11" i="13"/>
  <c r="K16" i="13"/>
  <c r="J11" i="13"/>
  <c r="J16" i="13"/>
  <c r="I11" i="13"/>
  <c r="I16" i="13"/>
  <c r="G9" i="13"/>
  <c r="G11" i="13"/>
  <c r="G16" i="13"/>
  <c r="F9" i="13"/>
  <c r="F11" i="13"/>
  <c r="F16" i="13"/>
  <c r="H9" i="13"/>
  <c r="H11" i="13"/>
  <c r="H16" i="13"/>
  <c r="H24" i="12"/>
  <c r="G24" i="12"/>
  <c r="F24" i="12"/>
  <c r="F26" i="12"/>
  <c r="F28" i="12"/>
  <c r="F33" i="12"/>
  <c r="H23" i="12"/>
  <c r="H26" i="12"/>
  <c r="H28" i="12"/>
  <c r="H33" i="12"/>
  <c r="G23" i="12"/>
  <c r="F23" i="12"/>
  <c r="I14" i="12"/>
  <c r="H5" i="12"/>
  <c r="H9" i="12"/>
  <c r="H11" i="12"/>
  <c r="H16" i="12"/>
  <c r="H6" i="12"/>
  <c r="G6" i="12"/>
  <c r="G9" i="12"/>
  <c r="G11" i="12"/>
  <c r="G16" i="12"/>
  <c r="F6" i="12"/>
  <c r="F9" i="12"/>
  <c r="F11" i="12"/>
  <c r="F16" i="12"/>
  <c r="I32" i="12"/>
  <c r="I33" i="12"/>
  <c r="F32" i="12"/>
  <c r="K28" i="12"/>
  <c r="K33" i="12"/>
  <c r="J28" i="12"/>
  <c r="J33" i="12"/>
  <c r="I28" i="12"/>
  <c r="G26" i="12"/>
  <c r="G28" i="12"/>
  <c r="G33" i="12"/>
  <c r="I15" i="12"/>
  <c r="F15" i="12"/>
  <c r="K11" i="12"/>
  <c r="K16" i="12"/>
  <c r="J11" i="12"/>
  <c r="J16" i="12"/>
  <c r="I11" i="12"/>
  <c r="I16" i="12"/>
  <c r="H25" i="11"/>
  <c r="G25" i="11"/>
  <c r="F25" i="11"/>
  <c r="H24" i="11"/>
  <c r="G24" i="11"/>
  <c r="F24" i="11"/>
  <c r="F26" i="11"/>
  <c r="F28" i="11"/>
  <c r="F33" i="11"/>
  <c r="H23" i="11"/>
  <c r="G23" i="11"/>
  <c r="F23" i="11"/>
  <c r="H22" i="11"/>
  <c r="G22" i="11"/>
  <c r="G26" i="11"/>
  <c r="G28" i="11"/>
  <c r="G33" i="11"/>
  <c r="F22" i="11"/>
  <c r="F10" i="11"/>
  <c r="H5" i="11"/>
  <c r="J10" i="11"/>
  <c r="I10" i="11"/>
  <c r="I14" i="11"/>
  <c r="F14" i="11"/>
  <c r="F15" i="11"/>
  <c r="H6" i="11"/>
  <c r="H9" i="11"/>
  <c r="H11" i="11"/>
  <c r="H16" i="11"/>
  <c r="G6" i="11"/>
  <c r="F6" i="11"/>
  <c r="F9" i="11"/>
  <c r="F11" i="11"/>
  <c r="I32" i="11"/>
  <c r="F32" i="11"/>
  <c r="K28" i="11"/>
  <c r="K33" i="11"/>
  <c r="J28" i="11"/>
  <c r="J33" i="11"/>
  <c r="I28" i="11"/>
  <c r="I33" i="11"/>
  <c r="H26" i="11"/>
  <c r="H28" i="11"/>
  <c r="H33" i="11"/>
  <c r="I15" i="11"/>
  <c r="K11" i="11"/>
  <c r="K16" i="11"/>
  <c r="J11" i="11"/>
  <c r="J16" i="11"/>
  <c r="I11" i="11"/>
  <c r="I16" i="11"/>
  <c r="G9" i="11"/>
  <c r="G11" i="11"/>
  <c r="G16" i="11"/>
  <c r="J27" i="10"/>
  <c r="I27" i="10"/>
  <c r="F27" i="10"/>
  <c r="H25" i="10"/>
  <c r="H22" i="10"/>
  <c r="H26" i="10"/>
  <c r="H28" i="10"/>
  <c r="H33" i="10"/>
  <c r="H24" i="10"/>
  <c r="H23" i="10"/>
  <c r="F25" i="10"/>
  <c r="G25" i="10"/>
  <c r="G24" i="10"/>
  <c r="G23" i="10"/>
  <c r="G22" i="10"/>
  <c r="G26" i="10"/>
  <c r="G28" i="10"/>
  <c r="G33" i="10"/>
  <c r="F24" i="10"/>
  <c r="F23" i="10"/>
  <c r="F22" i="10"/>
  <c r="F26" i="10"/>
  <c r="F28" i="10"/>
  <c r="F33" i="10"/>
  <c r="F14" i="10"/>
  <c r="I14" i="10"/>
  <c r="J10" i="10"/>
  <c r="I10" i="10"/>
  <c r="F10" i="10"/>
  <c r="H5" i="10"/>
  <c r="H6" i="10"/>
  <c r="G6" i="10"/>
  <c r="F6" i="10"/>
  <c r="I32" i="10"/>
  <c r="F32" i="10"/>
  <c r="K28" i="10"/>
  <c r="K33" i="10"/>
  <c r="J28" i="10"/>
  <c r="J33" i="10"/>
  <c r="I28" i="10"/>
  <c r="I15" i="10"/>
  <c r="F15" i="10"/>
  <c r="K11" i="10"/>
  <c r="K16" i="10"/>
  <c r="J11" i="10"/>
  <c r="J16" i="10"/>
  <c r="I11" i="10"/>
  <c r="I16" i="10"/>
  <c r="G9" i="10"/>
  <c r="G11" i="10"/>
  <c r="G16" i="10"/>
  <c r="F9" i="10"/>
  <c r="F11" i="10"/>
  <c r="F16" i="10"/>
  <c r="H9" i="10"/>
  <c r="H11" i="10"/>
  <c r="H16" i="10"/>
  <c r="I31" i="9"/>
  <c r="F31" i="9"/>
  <c r="H25" i="9"/>
  <c r="G25" i="9"/>
  <c r="F25" i="9"/>
  <c r="H24" i="9"/>
  <c r="H26" i="9"/>
  <c r="H28" i="9"/>
  <c r="H33" i="9"/>
  <c r="G24" i="9"/>
  <c r="F24" i="9"/>
  <c r="H23" i="9"/>
  <c r="G23" i="9"/>
  <c r="F23" i="9"/>
  <c r="H22" i="9"/>
  <c r="G22" i="9"/>
  <c r="F22" i="9"/>
  <c r="F26" i="9"/>
  <c r="F28" i="9"/>
  <c r="F33" i="9"/>
  <c r="I14" i="9"/>
  <c r="F14" i="9"/>
  <c r="J10" i="9"/>
  <c r="I10" i="9"/>
  <c r="F10" i="9"/>
  <c r="H6" i="9"/>
  <c r="H9" i="9"/>
  <c r="H11" i="9"/>
  <c r="H16" i="9"/>
  <c r="G6" i="9"/>
  <c r="F6" i="9"/>
  <c r="H5" i="9"/>
  <c r="F32" i="9"/>
  <c r="I32" i="9"/>
  <c r="K28" i="9"/>
  <c r="K33" i="9"/>
  <c r="J28" i="9"/>
  <c r="J33" i="9"/>
  <c r="I28" i="9"/>
  <c r="I33" i="9"/>
  <c r="G26" i="9"/>
  <c r="G28" i="9"/>
  <c r="G33" i="9"/>
  <c r="I15" i="9"/>
  <c r="F15" i="9"/>
  <c r="K11" i="9"/>
  <c r="K16" i="9"/>
  <c r="J11" i="9"/>
  <c r="J16" i="9"/>
  <c r="I11" i="9"/>
  <c r="I16" i="9"/>
  <c r="G9" i="9"/>
  <c r="G11" i="9"/>
  <c r="G16" i="9"/>
  <c r="F9" i="9"/>
  <c r="F11" i="9"/>
  <c r="F16" i="9"/>
  <c r="I31" i="8"/>
  <c r="I32" i="8"/>
  <c r="F31" i="8"/>
  <c r="F32" i="8"/>
  <c r="H25" i="8"/>
  <c r="G25" i="8"/>
  <c r="F25" i="8"/>
  <c r="H24" i="8"/>
  <c r="G24" i="8"/>
  <c r="F24" i="8"/>
  <c r="H23" i="8"/>
  <c r="G23" i="8"/>
  <c r="F23" i="8"/>
  <c r="H22" i="8"/>
  <c r="H26" i="8"/>
  <c r="H28" i="8"/>
  <c r="H33" i="8"/>
  <c r="G22" i="8"/>
  <c r="G26" i="8"/>
  <c r="G28" i="8"/>
  <c r="G33" i="8"/>
  <c r="F22" i="8"/>
  <c r="I14" i="8"/>
  <c r="I15" i="8"/>
  <c r="F14" i="8"/>
  <c r="J10" i="8"/>
  <c r="I10" i="8"/>
  <c r="F10" i="8"/>
  <c r="H5" i="8"/>
  <c r="H6" i="8"/>
  <c r="G6" i="8"/>
  <c r="F6" i="8"/>
  <c r="K28" i="8"/>
  <c r="K33" i="8"/>
  <c r="J28" i="8"/>
  <c r="J33" i="8"/>
  <c r="I28" i="8"/>
  <c r="I33" i="8"/>
  <c r="F26" i="8"/>
  <c r="F28" i="8"/>
  <c r="F33" i="8"/>
  <c r="F15" i="8"/>
  <c r="K11" i="8"/>
  <c r="K16" i="8"/>
  <c r="J11" i="8"/>
  <c r="J16" i="8"/>
  <c r="I11" i="8"/>
  <c r="I16" i="8"/>
  <c r="H9" i="8"/>
  <c r="H11" i="8"/>
  <c r="H16" i="8"/>
  <c r="G9" i="8"/>
  <c r="G11" i="8"/>
  <c r="G16" i="8"/>
  <c r="F9" i="8"/>
  <c r="F11" i="8"/>
  <c r="F16" i="8"/>
  <c r="F32" i="6"/>
  <c r="H26" i="6"/>
  <c r="G26" i="6"/>
  <c r="F26" i="6"/>
  <c r="F28" i="6"/>
  <c r="F33" i="6"/>
  <c r="J16" i="6"/>
  <c r="I16" i="6"/>
  <c r="F15" i="6"/>
  <c r="K11" i="6"/>
  <c r="K16" i="6"/>
  <c r="J11" i="6"/>
  <c r="I11" i="6"/>
  <c r="H11" i="6"/>
  <c r="H16" i="6"/>
  <c r="H9" i="6"/>
  <c r="G9" i="6"/>
  <c r="G11" i="6"/>
  <c r="G16" i="6"/>
  <c r="F9" i="6"/>
  <c r="F11" i="6"/>
  <c r="F16" i="6"/>
  <c r="G11" i="7"/>
  <c r="G16" i="7"/>
  <c r="F11" i="7"/>
  <c r="F16" i="7"/>
  <c r="I32" i="7"/>
  <c r="F32" i="7"/>
  <c r="K28" i="7"/>
  <c r="K33" i="7"/>
  <c r="J28" i="7"/>
  <c r="J33" i="7"/>
  <c r="I28" i="7"/>
  <c r="I33" i="7"/>
  <c r="H26" i="7"/>
  <c r="H28" i="7"/>
  <c r="H33" i="7"/>
  <c r="G26" i="7"/>
  <c r="G28" i="7"/>
  <c r="G33" i="7"/>
  <c r="F26" i="7"/>
  <c r="F28" i="7"/>
  <c r="F33" i="7"/>
  <c r="I15" i="7"/>
  <c r="F15" i="7"/>
  <c r="K11" i="7"/>
  <c r="K16" i="7"/>
  <c r="J11" i="7"/>
  <c r="J16" i="7"/>
  <c r="I11" i="7"/>
  <c r="I16" i="7"/>
  <c r="H9" i="7"/>
  <c r="H11" i="7"/>
  <c r="H16" i="7"/>
  <c r="G9" i="7"/>
  <c r="F9" i="7"/>
  <c r="H9" i="5"/>
  <c r="H11" i="5"/>
  <c r="H16" i="5"/>
  <c r="I32" i="6"/>
  <c r="K28" i="6"/>
  <c r="K33" i="6"/>
  <c r="J28" i="6"/>
  <c r="J33" i="6"/>
  <c r="I28" i="6"/>
  <c r="I33" i="6"/>
  <c r="H28" i="6"/>
  <c r="H33" i="6"/>
  <c r="G28" i="6"/>
  <c r="G33" i="6"/>
  <c r="I15" i="6"/>
  <c r="G26" i="5"/>
  <c r="G28" i="5"/>
  <c r="G33" i="5"/>
  <c r="G9" i="5"/>
  <c r="I32" i="5"/>
  <c r="I33" i="5"/>
  <c r="F32" i="5"/>
  <c r="K28" i="5"/>
  <c r="K33" i="5"/>
  <c r="J28" i="5"/>
  <c r="J33" i="5"/>
  <c r="I28" i="5"/>
  <c r="F26" i="5"/>
  <c r="F28" i="5"/>
  <c r="F33" i="5"/>
  <c r="H26" i="5"/>
  <c r="H28" i="5"/>
  <c r="H33" i="5"/>
  <c r="I15" i="5"/>
  <c r="I16" i="5"/>
  <c r="F15" i="5"/>
  <c r="K11" i="5"/>
  <c r="K16" i="5"/>
  <c r="J11" i="5"/>
  <c r="J16" i="5"/>
  <c r="I11" i="5"/>
  <c r="G11" i="5"/>
  <c r="G16" i="5"/>
  <c r="F9" i="5"/>
  <c r="F11" i="5"/>
  <c r="F16" i="5"/>
  <c r="H26" i="4"/>
  <c r="G26" i="4"/>
  <c r="F26" i="4"/>
  <c r="F28" i="4"/>
  <c r="F33" i="4"/>
  <c r="I15" i="4"/>
  <c r="F15" i="4"/>
  <c r="G9" i="4"/>
  <c r="G9" i="3"/>
  <c r="F9" i="4"/>
  <c r="F11" i="4"/>
  <c r="F16" i="4"/>
  <c r="H9" i="4"/>
  <c r="G11" i="4"/>
  <c r="G16" i="4"/>
  <c r="H11" i="4"/>
  <c r="H16" i="4"/>
  <c r="I11" i="4"/>
  <c r="I16" i="4"/>
  <c r="J11" i="4"/>
  <c r="J16" i="4"/>
  <c r="K11" i="4"/>
  <c r="K16" i="4"/>
  <c r="G28" i="4"/>
  <c r="H28" i="4"/>
  <c r="H33" i="4"/>
  <c r="I28" i="4"/>
  <c r="I33" i="4"/>
  <c r="J28" i="4"/>
  <c r="J33" i="4"/>
  <c r="K28" i="4"/>
  <c r="F32" i="4"/>
  <c r="I32" i="4"/>
  <c r="G33" i="4"/>
  <c r="K33" i="4"/>
  <c r="G26" i="3"/>
  <c r="G28" i="3"/>
  <c r="G33" i="3"/>
  <c r="J11" i="3"/>
  <c r="J16" i="3"/>
  <c r="I11" i="3"/>
  <c r="I16" i="3"/>
  <c r="I15" i="3"/>
  <c r="F15" i="3"/>
  <c r="F9" i="3"/>
  <c r="F11" i="3"/>
  <c r="F16" i="3"/>
  <c r="F26" i="3"/>
  <c r="F28" i="3"/>
  <c r="F33" i="3"/>
  <c r="H26" i="3"/>
  <c r="H28" i="3"/>
  <c r="H33" i="3"/>
  <c r="I28" i="3"/>
  <c r="F32" i="3"/>
  <c r="I32" i="3"/>
  <c r="I33" i="3"/>
  <c r="H9" i="3"/>
  <c r="H11" i="3"/>
  <c r="H16" i="3"/>
  <c r="G11" i="3"/>
  <c r="G16" i="3"/>
  <c r="K11" i="3"/>
  <c r="K16" i="3"/>
  <c r="J28" i="3"/>
  <c r="J33" i="3"/>
  <c r="K28" i="3"/>
  <c r="K33" i="3"/>
  <c r="I33" i="10"/>
  <c r="F16" i="11"/>
  <c r="I16" i="15"/>
  <c r="F16" i="15"/>
  <c r="H11" i="15"/>
  <c r="H16" i="15"/>
  <c r="H9" i="16"/>
  <c r="H11" i="16"/>
  <c r="H16" i="16"/>
  <c r="I11" i="16"/>
  <c r="F11" i="16"/>
  <c r="F16" i="16"/>
  <c r="I16" i="16"/>
</calcChain>
</file>

<file path=xl/sharedStrings.xml><?xml version="1.0" encoding="utf-8"?>
<sst xmlns="http://schemas.openxmlformats.org/spreadsheetml/2006/main" count="1444" uniqueCount="69">
  <si>
    <t>（１） 一般被保険者</t>
  </si>
  <si>
    <t>合      計</t>
  </si>
  <si>
    <t>（２） 退職被保険者等</t>
  </si>
  <si>
    <t>件数</t>
    <phoneticPr fontId="6"/>
  </si>
  <si>
    <t>日数</t>
    <phoneticPr fontId="6"/>
  </si>
  <si>
    <t>区　　分</t>
    <phoneticPr fontId="6"/>
  </si>
  <si>
    <t>費　用　額</t>
    <phoneticPr fontId="6"/>
  </si>
  <si>
    <t>結核予防法等
公費負担金</t>
    <phoneticPr fontId="6"/>
  </si>
  <si>
    <t>療養の給付</t>
    <rPh sb="0" eb="2">
      <t>リョウヨウ</t>
    </rPh>
    <rPh sb="3" eb="5">
      <t>キュウフ</t>
    </rPh>
    <phoneticPr fontId="6"/>
  </si>
  <si>
    <t>療養費</t>
    <rPh sb="0" eb="3">
      <t>リョウヨウヒ</t>
    </rPh>
    <phoneticPr fontId="6"/>
  </si>
  <si>
    <t>出産育児一時金</t>
    <phoneticPr fontId="6"/>
  </si>
  <si>
    <t>葬祭費</t>
    <phoneticPr fontId="6"/>
  </si>
  <si>
    <t>高額療養費</t>
    <phoneticPr fontId="6"/>
  </si>
  <si>
    <t>　　　入院</t>
    <phoneticPr fontId="6"/>
  </si>
  <si>
    <t>　　　入院外</t>
    <phoneticPr fontId="6"/>
  </si>
  <si>
    <t>　　　歯科</t>
    <phoneticPr fontId="6"/>
  </si>
  <si>
    <t>　　　薬剤の支給</t>
    <phoneticPr fontId="6"/>
  </si>
  <si>
    <t>保険者
負担分</t>
    <phoneticPr fontId="6"/>
  </si>
  <si>
    <t>被保険者
負担分</t>
    <phoneticPr fontId="6"/>
  </si>
  <si>
    <t>　　療養諸費計</t>
  </si>
  <si>
    <t>　　療養諸費計</t>
    <phoneticPr fontId="6"/>
  </si>
  <si>
    <t>　　計</t>
    <rPh sb="2" eb="3">
      <t>ケイ</t>
    </rPh>
    <phoneticPr fontId="6"/>
  </si>
  <si>
    <t>　　 計</t>
    <rPh sb="3" eb="4">
      <t>ケイ</t>
    </rPh>
    <phoneticPr fontId="6"/>
  </si>
  <si>
    <t>*</t>
    <phoneticPr fontId="6"/>
  </si>
  <si>
    <t>*</t>
    <phoneticPr fontId="6"/>
  </si>
  <si>
    <t>１２-８　国民健康保険給付状況</t>
    <phoneticPr fontId="6"/>
  </si>
  <si>
    <r>
      <t>資料：</t>
    </r>
    <r>
      <rPr>
        <sz val="11"/>
        <rFont val="ＭＳ Ｐ明朝"/>
        <family val="1"/>
        <charset val="128"/>
      </rPr>
      <t>国保年金課　事業年報</t>
    </r>
    <rPh sb="9" eb="11">
      <t>ジギョウ</t>
    </rPh>
    <rPh sb="11" eb="13">
      <t>ネンポウ</t>
    </rPh>
    <phoneticPr fontId="6"/>
  </si>
  <si>
    <t>平成23年度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</si>
  <si>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平成24年度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</si>
  <si>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区　　分</t>
    <phoneticPr fontId="6"/>
  </si>
  <si>
    <t>件数</t>
    <phoneticPr fontId="6"/>
  </si>
  <si>
    <t>日数</t>
    <phoneticPr fontId="6"/>
  </si>
  <si>
    <t>費　用　額</t>
    <phoneticPr fontId="6"/>
  </si>
  <si>
    <t>保険者
負担分</t>
    <phoneticPr fontId="6"/>
  </si>
  <si>
    <t>被保険者
負担分</t>
    <phoneticPr fontId="6"/>
  </si>
  <si>
    <t>結核予防法等
公費負担金</t>
    <phoneticPr fontId="6"/>
  </si>
  <si>
    <t>　　　入院</t>
    <phoneticPr fontId="6"/>
  </si>
  <si>
    <t>*</t>
    <phoneticPr fontId="6"/>
  </si>
  <si>
    <t>　　　入院外</t>
    <phoneticPr fontId="6"/>
  </si>
  <si>
    <t>　　　歯科</t>
    <phoneticPr fontId="6"/>
  </si>
  <si>
    <t>　　　薬剤の支給</t>
    <phoneticPr fontId="6"/>
  </si>
  <si>
    <t>*</t>
    <phoneticPr fontId="6"/>
  </si>
  <si>
    <t>出産育児一時金</t>
    <phoneticPr fontId="6"/>
  </si>
  <si>
    <t>葬祭費</t>
    <phoneticPr fontId="6"/>
  </si>
  <si>
    <t>高額療養費</t>
    <phoneticPr fontId="6"/>
  </si>
  <si>
    <t>　　療養諸費計</t>
    <phoneticPr fontId="6"/>
  </si>
  <si>
    <t>平成25年度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</si>
  <si>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平成26年度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</si>
  <si>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平成27年度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</si>
  <si>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*</t>
    <phoneticPr fontId="12"/>
  </si>
  <si>
    <t>平成28年度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</si>
  <si>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平成29年度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</si>
  <si>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平成30年度 （単位：件，日，円）</t>
    <rPh sb="8" eb="10">
      <t>タンイ</t>
    </rPh>
    <rPh sb="11" eb="12">
      <t>ケン</t>
    </rPh>
    <rPh sb="13" eb="14">
      <t>ニチ</t>
    </rPh>
    <rPh sb="15" eb="16">
      <t>エン</t>
    </rPh>
    <phoneticPr fontId="6"/>
  </si>
  <si>
    <t>令和元年度 （単位：件，日，円）</t>
    <rPh sb="0" eb="2">
      <t>レイワ</t>
    </rPh>
    <rPh sb="2" eb="3">
      <t>ガン</t>
    </rPh>
    <rPh sb="7" eb="9">
      <t>タンイ</t>
    </rPh>
    <rPh sb="10" eb="11">
      <t>ケン</t>
    </rPh>
    <rPh sb="12" eb="13">
      <t>ニチ</t>
    </rPh>
    <rPh sb="14" eb="15">
      <t>エン</t>
    </rPh>
    <phoneticPr fontId="6"/>
  </si>
  <si>
    <t>令和２年度 （単位：件，日，円）</t>
  </si>
  <si>
    <t>令和２年度 （単位：件，日，円）</t>
    <rPh sb="0" eb="2">
      <t>レイワ</t>
    </rPh>
    <rPh sb="7" eb="9">
      <t>タンイ</t>
    </rPh>
    <rPh sb="10" eb="11">
      <t>ケン</t>
    </rPh>
    <rPh sb="12" eb="13">
      <t>ニチ</t>
    </rPh>
    <rPh sb="14" eb="15">
      <t>エン</t>
    </rPh>
    <phoneticPr fontId="6"/>
  </si>
  <si>
    <t>令和３年度 （単位：件，日，円）</t>
    <rPh sb="0" eb="2">
      <t>レイワ</t>
    </rPh>
    <rPh sb="7" eb="9">
      <t>タンイ</t>
    </rPh>
    <rPh sb="10" eb="11">
      <t>ケン</t>
    </rPh>
    <rPh sb="12" eb="13">
      <t>ニチ</t>
    </rPh>
    <rPh sb="14" eb="15">
      <t>エン</t>
    </rPh>
    <phoneticPr fontId="6"/>
  </si>
  <si>
    <t>令和３年度 （単位：件，日，円）</t>
    <phoneticPr fontId="12"/>
  </si>
  <si>
    <t>令和４年度 （単位：件，日，円）</t>
    <rPh sb="0" eb="2">
      <t>レイワ</t>
    </rPh>
    <rPh sb="7" eb="9">
      <t>タンイ</t>
    </rPh>
    <rPh sb="10" eb="11">
      <t>ケン</t>
    </rPh>
    <rPh sb="12" eb="13">
      <t>ニチ</t>
    </rPh>
    <rPh sb="14" eb="15">
      <t>エン</t>
    </rPh>
    <phoneticPr fontId="6"/>
  </si>
  <si>
    <t>令和5年度 （単位：件，日，円）</t>
    <phoneticPr fontId="12"/>
  </si>
  <si>
    <t>*</t>
  </si>
  <si>
    <t>令和５年度 （単位：件，日，円）</t>
    <rPh sb="0" eb="2">
      <t>レイワ</t>
    </rPh>
    <rPh sb="7" eb="9">
      <t>タンイ</t>
    </rPh>
    <rPh sb="10" eb="11">
      <t>ケン</t>
    </rPh>
    <rPh sb="12" eb="13">
      <t>ニチ</t>
    </rPh>
    <rPh sb="14" eb="15">
      <t>エン</t>
    </rPh>
    <phoneticPr fontId="6"/>
  </si>
  <si>
    <t>令和６年度 （単位：件，日，円）</t>
    <rPh sb="0" eb="2">
      <t>レイワ</t>
    </rPh>
    <rPh sb="7" eb="9">
      <t>タンイ</t>
    </rPh>
    <rPh sb="10" eb="11">
      <t>ケン</t>
    </rPh>
    <rPh sb="12" eb="13">
      <t>ニチ</t>
    </rPh>
    <rPh sb="14" eb="15">
      <t>エン</t>
    </rPh>
    <phoneticPr fontId="6"/>
  </si>
  <si>
    <t>療養の給付等</t>
    <rPh sb="0" eb="2">
      <t>リョウヨウ</t>
    </rPh>
    <rPh sb="3" eb="5">
      <t>キュウフ</t>
    </rPh>
    <rPh sb="5" eb="6">
      <t>トウ</t>
    </rPh>
    <phoneticPr fontId="6"/>
  </si>
  <si>
    <t>　　　調剤</t>
    <rPh sb="3" eb="5">
      <t>チョウザイ</t>
    </rPh>
    <phoneticPr fontId="6"/>
  </si>
  <si>
    <t>療養費等</t>
    <rPh sb="0" eb="3">
      <t>リョウヨウヒ</t>
    </rPh>
    <rPh sb="3" eb="4">
      <t>トウ</t>
    </rPh>
    <phoneticPr fontId="6"/>
  </si>
  <si>
    <t>高額療養費・高額介護合算療養費</t>
    <rPh sb="6" eb="8">
      <t>コウガク</t>
    </rPh>
    <rPh sb="8" eb="10">
      <t>カイゴ</t>
    </rPh>
    <rPh sb="10" eb="12">
      <t>ガッサン</t>
    </rPh>
    <rPh sb="12" eb="15">
      <t>リョウヨウヒ</t>
    </rPh>
    <phoneticPr fontId="6"/>
  </si>
  <si>
    <t>（１） 一般被保険者</t>
    <phoneticPr fontId="12"/>
  </si>
  <si>
    <t>注     ：退職被保険者等については令和６年４月より制度廃止。</t>
    <rPh sb="0" eb="1">
      <t>チュウ</t>
    </rPh>
    <rPh sb="7" eb="9">
      <t>タイショク</t>
    </rPh>
    <rPh sb="9" eb="13">
      <t>ヒホケンシャ</t>
    </rPh>
    <rPh sb="13" eb="14">
      <t>トウ</t>
    </rPh>
    <rPh sb="19" eb="21">
      <t>レイワ</t>
    </rPh>
    <rPh sb="22" eb="23">
      <t>ネン</t>
    </rPh>
    <rPh sb="24" eb="25">
      <t>ガツ</t>
    </rPh>
    <rPh sb="27" eb="31">
      <t>セイドハイシ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</si>
</sst>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5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8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125">
    <xf numFmtId="0" fontId="0" fillId="0" borderId="0" xfId="0"/>
    <xf numFmtId="0" fontId="8" fillId="0" borderId="0" xfId="0" applyFont="1"/>
    <xf numFmtId="0" fontId="9" fillId="0" borderId="0" xfId="0" applyFont="1" applyBorder="1" applyAlignment="1">
      <alignment vertical="center"/>
    </xf>
    <xf numFmtId="0" fontId="10" fillId="0" borderId="0" xfId="0" applyFont="1"/>
    <xf numFmtId="0" fontId="10" fillId="0" borderId="3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/>
    <xf numFmtId="0" fontId="11" fillId="0" borderId="0" xfId="0" applyFont="1" applyBorder="1" applyAlignment="1"/>
    <xf numFmtId="0" fontId="9" fillId="0" borderId="0" xfId="0" applyFont="1" applyAlignment="1">
      <alignment horizontal="left" vertical="center"/>
    </xf>
    <xf numFmtId="37" fontId="9" fillId="0" borderId="5" xfId="0" applyNumberFormat="1" applyFont="1" applyFill="1" applyBorder="1" applyAlignment="1" applyProtection="1">
      <alignment vertical="center"/>
    </xf>
    <xf numFmtId="37" fontId="9" fillId="0" borderId="3" xfId="0" applyNumberFormat="1" applyFont="1" applyFill="1" applyBorder="1" applyAlignment="1" applyProtection="1">
      <alignment vertical="center"/>
    </xf>
    <xf numFmtId="0" fontId="7" fillId="0" borderId="0" xfId="0" applyFont="1" applyBorder="1" applyAlignment="1"/>
    <xf numFmtId="37" fontId="10" fillId="2" borderId="0" xfId="0" applyNumberFormat="1" applyFont="1" applyFill="1" applyBorder="1" applyAlignment="1" applyProtection="1">
      <alignment horizontal="right" vertical="center"/>
    </xf>
    <xf numFmtId="37" fontId="9" fillId="2" borderId="5" xfId="0" applyNumberFormat="1" applyFont="1" applyFill="1" applyBorder="1" applyAlignment="1" applyProtection="1">
      <alignment vertical="center"/>
    </xf>
    <xf numFmtId="37" fontId="9" fillId="2" borderId="3" xfId="0" applyNumberFormat="1" applyFont="1" applyFill="1" applyBorder="1" applyAlignment="1" applyProtection="1">
      <alignment vertical="center"/>
    </xf>
    <xf numFmtId="0" fontId="10" fillId="2" borderId="0" xfId="0" applyFont="1" applyFill="1"/>
    <xf numFmtId="0" fontId="9" fillId="2" borderId="0" xfId="0" applyFont="1" applyFill="1" applyBorder="1" applyAlignment="1"/>
    <xf numFmtId="0" fontId="10" fillId="2" borderId="3" xfId="0" applyFont="1" applyFill="1" applyBorder="1"/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37" fontId="10" fillId="2" borderId="6" xfId="0" applyNumberFormat="1" applyFont="1" applyFill="1" applyBorder="1" applyAlignment="1" applyProtection="1">
      <alignment horizontal="right" vertical="center"/>
    </xf>
    <xf numFmtId="37" fontId="9" fillId="2" borderId="6" xfId="0" applyNumberFormat="1" applyFont="1" applyFill="1" applyBorder="1" applyAlignment="1" applyProtection="1">
      <alignment vertical="center"/>
    </xf>
    <xf numFmtId="37" fontId="9" fillId="2" borderId="0" xfId="0" applyNumberFormat="1" applyFont="1" applyFill="1" applyAlignment="1" applyProtection="1">
      <alignment vertical="center"/>
    </xf>
    <xf numFmtId="0" fontId="10" fillId="2" borderId="0" xfId="0" applyFont="1" applyFill="1" applyBorder="1" applyAlignment="1">
      <alignment horizontal="right"/>
    </xf>
    <xf numFmtId="37" fontId="10" fillId="2" borderId="6" xfId="0" applyNumberFormat="1" applyFont="1" applyFill="1" applyBorder="1" applyAlignment="1" applyProtection="1">
      <alignment vertical="center"/>
    </xf>
    <xf numFmtId="37" fontId="10" fillId="2" borderId="0" xfId="0" applyNumberFormat="1" applyFont="1" applyFill="1" applyAlignment="1" applyProtection="1">
      <alignment vertical="center"/>
    </xf>
    <xf numFmtId="38" fontId="10" fillId="2" borderId="0" xfId="5" quotePrefix="1" applyFont="1" applyFill="1" applyAlignment="1" applyProtection="1">
      <alignment horizontal="right" vertical="center"/>
    </xf>
    <xf numFmtId="0" fontId="7" fillId="3" borderId="0" xfId="0" applyFont="1" applyFill="1" applyBorder="1" applyAlignment="1"/>
    <xf numFmtId="0" fontId="8" fillId="3" borderId="0" xfId="0" applyFont="1" applyFill="1"/>
    <xf numFmtId="0" fontId="10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0" fillId="3" borderId="0" xfId="0" applyFont="1" applyFill="1"/>
    <xf numFmtId="0" fontId="10" fillId="3" borderId="0" xfId="0" applyFont="1" applyFill="1" applyBorder="1" applyAlignment="1">
      <alignment horizontal="right"/>
    </xf>
    <xf numFmtId="0" fontId="10" fillId="3" borderId="3" xfId="0" applyFont="1" applyFill="1" applyBorder="1"/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left" vertical="center"/>
    </xf>
    <xf numFmtId="37" fontId="10" fillId="3" borderId="6" xfId="0" applyNumberFormat="1" applyFont="1" applyFill="1" applyBorder="1" applyAlignment="1" applyProtection="1">
      <alignment vertical="center"/>
    </xf>
    <xf numFmtId="37" fontId="10" fillId="3" borderId="0" xfId="0" applyNumberFormat="1" applyFont="1" applyFill="1" applyAlignment="1" applyProtection="1">
      <alignment vertical="center"/>
    </xf>
    <xf numFmtId="37" fontId="10" fillId="3" borderId="0" xfId="0" applyNumberFormat="1" applyFont="1" applyFill="1" applyBorder="1" applyAlignment="1" applyProtection="1">
      <alignment horizontal="right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Border="1" applyAlignment="1">
      <alignment vertical="center" textRotation="255"/>
    </xf>
    <xf numFmtId="38" fontId="10" fillId="3" borderId="0" xfId="5" quotePrefix="1" applyFont="1" applyFill="1" applyAlignment="1" applyProtection="1">
      <alignment horizontal="right" vertical="center"/>
    </xf>
    <xf numFmtId="0" fontId="9" fillId="3" borderId="0" xfId="0" applyFont="1" applyFill="1" applyAlignment="1">
      <alignment horizontal="left" vertical="center"/>
    </xf>
    <xf numFmtId="37" fontId="9" fillId="3" borderId="6" xfId="0" applyNumberFormat="1" applyFont="1" applyFill="1" applyBorder="1" applyAlignment="1" applyProtection="1">
      <alignment vertical="center"/>
    </xf>
    <xf numFmtId="37" fontId="9" fillId="3" borderId="0" xfId="0" applyNumberFormat="1" applyFont="1" applyFill="1" applyAlignment="1" applyProtection="1">
      <alignment vertical="center"/>
    </xf>
    <xf numFmtId="37" fontId="9" fillId="3" borderId="5" xfId="0" applyNumberFormat="1" applyFont="1" applyFill="1" applyBorder="1" applyAlignment="1" applyProtection="1">
      <alignment vertical="center"/>
    </xf>
    <xf numFmtId="37" fontId="9" fillId="3" borderId="3" xfId="0" applyNumberFormat="1" applyFont="1" applyFill="1" applyBorder="1" applyAlignment="1" applyProtection="1">
      <alignment vertical="center"/>
    </xf>
    <xf numFmtId="0" fontId="10" fillId="3" borderId="0" xfId="0" applyFont="1" applyFill="1" applyBorder="1" applyAlignment="1"/>
    <xf numFmtId="0" fontId="9" fillId="3" borderId="0" xfId="0" applyFont="1" applyFill="1" applyBorder="1" applyAlignment="1"/>
    <xf numFmtId="37" fontId="10" fillId="3" borderId="6" xfId="0" applyNumberFormat="1" applyFont="1" applyFill="1" applyBorder="1" applyAlignment="1" applyProtection="1">
      <alignment horizontal="right" vertical="center"/>
    </xf>
    <xf numFmtId="0" fontId="11" fillId="3" borderId="0" xfId="0" applyFont="1" applyFill="1" applyBorder="1" applyAlignment="1"/>
    <xf numFmtId="0" fontId="10" fillId="3" borderId="0" xfId="0" applyFont="1" applyFill="1" applyBorder="1"/>
    <xf numFmtId="0" fontId="10" fillId="0" borderId="0" xfId="0" applyFont="1" applyFill="1"/>
    <xf numFmtId="0" fontId="10" fillId="0" borderId="0" xfId="0" applyFont="1" applyFill="1" applyBorder="1" applyAlignment="1">
      <alignment horizontal="right"/>
    </xf>
    <xf numFmtId="0" fontId="10" fillId="0" borderId="3" xfId="0" applyFont="1" applyFill="1" applyBorder="1"/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37" fontId="10" fillId="0" borderId="6" xfId="0" applyNumberFormat="1" applyFont="1" applyFill="1" applyBorder="1" applyAlignment="1" applyProtection="1">
      <alignment vertical="center"/>
    </xf>
    <xf numFmtId="37" fontId="10" fillId="0" borderId="0" xfId="0" applyNumberFormat="1" applyFont="1" applyFill="1" applyAlignment="1" applyProtection="1">
      <alignment vertical="center"/>
    </xf>
    <xf numFmtId="37" fontId="10" fillId="0" borderId="0" xfId="0" applyNumberFormat="1" applyFont="1" applyFill="1" applyBorder="1" applyAlignment="1" applyProtection="1">
      <alignment horizontal="right" vertical="center"/>
    </xf>
    <xf numFmtId="38" fontId="10" fillId="0" borderId="0" xfId="5" quotePrefix="1" applyFont="1" applyFill="1" applyAlignment="1" applyProtection="1">
      <alignment horizontal="right" vertical="center"/>
    </xf>
    <xf numFmtId="37" fontId="9" fillId="0" borderId="6" xfId="0" applyNumberFormat="1" applyFont="1" applyFill="1" applyBorder="1" applyAlignment="1" applyProtection="1">
      <alignment vertical="center"/>
    </xf>
    <xf numFmtId="37" fontId="9" fillId="0" borderId="0" xfId="0" applyNumberFormat="1" applyFont="1" applyFill="1" applyAlignment="1" applyProtection="1">
      <alignment vertical="center"/>
    </xf>
    <xf numFmtId="0" fontId="9" fillId="0" borderId="0" xfId="0" applyFont="1" applyFill="1" applyBorder="1" applyAlignment="1"/>
    <xf numFmtId="37" fontId="10" fillId="0" borderId="6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Border="1"/>
    <xf numFmtId="0" fontId="13" fillId="0" borderId="0" xfId="0" applyFont="1" applyBorder="1" applyAlignment="1"/>
    <xf numFmtId="0" fontId="10" fillId="0" borderId="0" xfId="0" applyFont="1" applyAlignment="1">
      <alignment horizontal="left" vertical="center"/>
    </xf>
    <xf numFmtId="37" fontId="10" fillId="0" borderId="5" xfId="0" applyNumberFormat="1" applyFont="1" applyFill="1" applyBorder="1" applyAlignment="1" applyProtection="1">
      <alignment vertical="center"/>
    </xf>
    <xf numFmtId="37" fontId="10" fillId="0" borderId="3" xfId="0" applyNumberFormat="1" applyFont="1" applyFill="1" applyBorder="1" applyAlignment="1" applyProtection="1">
      <alignment vertical="center"/>
    </xf>
    <xf numFmtId="37" fontId="10" fillId="3" borderId="5" xfId="0" applyNumberFormat="1" applyFont="1" applyFill="1" applyBorder="1" applyAlignment="1" applyProtection="1">
      <alignment vertical="center"/>
    </xf>
    <xf numFmtId="37" fontId="10" fillId="3" borderId="3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/>
    <xf numFmtId="0" fontId="13" fillId="0" borderId="0" xfId="0" applyFont="1" applyFill="1" applyBorder="1" applyAlignment="1"/>
    <xf numFmtId="0" fontId="8" fillId="0" borderId="0" xfId="0" applyFont="1" applyFill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textRotation="255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37" fontId="10" fillId="3" borderId="0" xfId="0" applyNumberFormat="1" applyFont="1" applyFill="1" applyAlignment="1" applyProtection="1">
      <alignment horizontal="right" vertical="center"/>
    </xf>
    <xf numFmtId="0" fontId="14" fillId="0" borderId="0" xfId="0" applyFont="1" applyAlignment="1">
      <alignment vertical="center"/>
    </xf>
    <xf numFmtId="37" fontId="10" fillId="0" borderId="0" xfId="0" applyNumberFormat="1" applyFont="1" applyFill="1" applyAlignment="1" applyProtection="1">
      <alignment horizontal="right" vertical="center"/>
    </xf>
    <xf numFmtId="37" fontId="10" fillId="0" borderId="0" xfId="0" applyNumberFormat="1" applyFont="1" applyFill="1" applyBorder="1" applyAlignment="1" applyProtection="1">
      <alignment vertical="center"/>
    </xf>
    <xf numFmtId="37" fontId="10" fillId="3" borderId="0" xfId="0" applyNumberFormat="1" applyFont="1" applyFill="1" applyBorder="1" applyAlignment="1" applyProtection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  <cellStyle name="未定義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20753" name="図形 7">
          <a:extLst>
            <a:ext uri="{FF2B5EF4-FFF2-40B4-BE49-F238E27FC236}">
              <a16:creationId xmlns:a16="http://schemas.microsoft.com/office/drawing/2014/main" id="{F00C1F21-A1E4-4638-8755-8041024DC949}"/>
            </a:ext>
          </a:extLst>
        </xdr:cNvPr>
        <xdr:cNvSpPr>
          <a:spLocks/>
        </xdr:cNvSpPr>
      </xdr:nvSpPr>
      <xdr:spPr bwMode="auto">
        <a:xfrm>
          <a:off x="138684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20754" name="Line 2">
          <a:extLst>
            <a:ext uri="{FF2B5EF4-FFF2-40B4-BE49-F238E27FC236}">
              <a16:creationId xmlns:a16="http://schemas.microsoft.com/office/drawing/2014/main" id="{0D91388D-FC26-46E8-8212-235FC9CE4223}"/>
            </a:ext>
          </a:extLst>
        </xdr:cNvPr>
        <xdr:cNvSpPr>
          <a:spLocks noChangeShapeType="1"/>
        </xdr:cNvSpPr>
      </xdr:nvSpPr>
      <xdr:spPr bwMode="auto">
        <a:xfrm>
          <a:off x="138684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60960</xdr:colOff>
      <xdr:row>4</xdr:row>
      <xdr:rowOff>60960</xdr:rowOff>
    </xdr:from>
    <xdr:to>
      <xdr:col>4</xdr:col>
      <xdr:colOff>121920</xdr:colOff>
      <xdr:row>4</xdr:row>
      <xdr:rowOff>60960</xdr:rowOff>
    </xdr:to>
    <xdr:sp macro="" textlink="">
      <xdr:nvSpPr>
        <xdr:cNvPr id="20755" name="Line 3">
          <a:extLst>
            <a:ext uri="{FF2B5EF4-FFF2-40B4-BE49-F238E27FC236}">
              <a16:creationId xmlns:a16="http://schemas.microsoft.com/office/drawing/2014/main" id="{695DA5C2-B929-4594-B380-0DE4F4BC4399}"/>
            </a:ext>
          </a:extLst>
        </xdr:cNvPr>
        <xdr:cNvSpPr>
          <a:spLocks noChangeShapeType="1"/>
        </xdr:cNvSpPr>
      </xdr:nvSpPr>
      <xdr:spPr bwMode="auto">
        <a:xfrm flipH="1">
          <a:off x="1325880" y="944880"/>
          <a:ext cx="60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20756" name="図形 10">
          <a:extLst>
            <a:ext uri="{FF2B5EF4-FFF2-40B4-BE49-F238E27FC236}">
              <a16:creationId xmlns:a16="http://schemas.microsoft.com/office/drawing/2014/main" id="{147D974A-48DF-4801-87AE-CA90B9B8B90A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20757" name="Line 5">
          <a:extLst>
            <a:ext uri="{FF2B5EF4-FFF2-40B4-BE49-F238E27FC236}">
              <a16:creationId xmlns:a16="http://schemas.microsoft.com/office/drawing/2014/main" id="{70D5ED69-87AD-4044-AF37-ACF11D856ED2}"/>
            </a:ext>
          </a:extLst>
        </xdr:cNvPr>
        <xdr:cNvSpPr>
          <a:spLocks noChangeShapeType="1"/>
        </xdr:cNvSpPr>
      </xdr:nvSpPr>
      <xdr:spPr bwMode="auto">
        <a:xfrm>
          <a:off x="573024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20758" name="Line 6">
          <a:extLst>
            <a:ext uri="{FF2B5EF4-FFF2-40B4-BE49-F238E27FC236}">
              <a16:creationId xmlns:a16="http://schemas.microsoft.com/office/drawing/2014/main" id="{25A3D83E-9F26-4E32-894A-6E0DAC7E0FBC}"/>
            </a:ext>
          </a:extLst>
        </xdr:cNvPr>
        <xdr:cNvSpPr>
          <a:spLocks noChangeShapeType="1"/>
        </xdr:cNvSpPr>
      </xdr:nvSpPr>
      <xdr:spPr bwMode="auto">
        <a:xfrm>
          <a:off x="707136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20759" name="Line 7">
          <a:extLst>
            <a:ext uri="{FF2B5EF4-FFF2-40B4-BE49-F238E27FC236}">
              <a16:creationId xmlns:a16="http://schemas.microsoft.com/office/drawing/2014/main" id="{C41F04D0-157E-4122-88E6-77DE4703935B}"/>
            </a:ext>
          </a:extLst>
        </xdr:cNvPr>
        <xdr:cNvSpPr>
          <a:spLocks noChangeShapeType="1"/>
        </xdr:cNvSpPr>
      </xdr:nvSpPr>
      <xdr:spPr bwMode="auto">
        <a:xfrm>
          <a:off x="822198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20760" name="Line 8">
          <a:extLst>
            <a:ext uri="{FF2B5EF4-FFF2-40B4-BE49-F238E27FC236}">
              <a16:creationId xmlns:a16="http://schemas.microsoft.com/office/drawing/2014/main" id="{7B9E7132-46B4-4341-BF47-D393A52079AD}"/>
            </a:ext>
          </a:extLst>
        </xdr:cNvPr>
        <xdr:cNvSpPr>
          <a:spLocks noChangeShapeType="1"/>
        </xdr:cNvSpPr>
      </xdr:nvSpPr>
      <xdr:spPr bwMode="auto">
        <a:xfrm>
          <a:off x="450342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20761" name="Line 9">
          <a:extLst>
            <a:ext uri="{FF2B5EF4-FFF2-40B4-BE49-F238E27FC236}">
              <a16:creationId xmlns:a16="http://schemas.microsoft.com/office/drawing/2014/main" id="{1A2DF291-AC37-4AE0-98EF-627211F2B039}"/>
            </a:ext>
          </a:extLst>
        </xdr:cNvPr>
        <xdr:cNvSpPr>
          <a:spLocks noChangeShapeType="1"/>
        </xdr:cNvSpPr>
      </xdr:nvSpPr>
      <xdr:spPr bwMode="auto">
        <a:xfrm>
          <a:off x="704850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20762" name="Line 10">
          <a:extLst>
            <a:ext uri="{FF2B5EF4-FFF2-40B4-BE49-F238E27FC236}">
              <a16:creationId xmlns:a16="http://schemas.microsoft.com/office/drawing/2014/main" id="{EF150872-1CB8-4543-AD92-0E820C7BB186}"/>
            </a:ext>
          </a:extLst>
        </xdr:cNvPr>
        <xdr:cNvSpPr>
          <a:spLocks noChangeShapeType="1"/>
        </xdr:cNvSpPr>
      </xdr:nvSpPr>
      <xdr:spPr bwMode="auto">
        <a:xfrm>
          <a:off x="822198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0763" name="図形 10">
          <a:extLst>
            <a:ext uri="{FF2B5EF4-FFF2-40B4-BE49-F238E27FC236}">
              <a16:creationId xmlns:a16="http://schemas.microsoft.com/office/drawing/2014/main" id="{4C6412EA-A025-4E36-A863-7EE1C1B2D8F1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0764" name="図形 11">
          <a:extLst>
            <a:ext uri="{FF2B5EF4-FFF2-40B4-BE49-F238E27FC236}">
              <a16:creationId xmlns:a16="http://schemas.microsoft.com/office/drawing/2014/main" id="{BC3D7EB1-DC0F-4E5D-8166-173FA0B02E20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0765" name="Line 13">
          <a:extLst>
            <a:ext uri="{FF2B5EF4-FFF2-40B4-BE49-F238E27FC236}">
              <a16:creationId xmlns:a16="http://schemas.microsoft.com/office/drawing/2014/main" id="{9D6FAD76-797A-4359-B6AD-DBB1748555AE}"/>
            </a:ext>
          </a:extLst>
        </xdr:cNvPr>
        <xdr:cNvSpPr>
          <a:spLocks noChangeShapeType="1"/>
        </xdr:cNvSpPr>
      </xdr:nvSpPr>
      <xdr:spPr bwMode="auto">
        <a:xfrm>
          <a:off x="365760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20766" name="図形 10">
          <a:extLst>
            <a:ext uri="{FF2B5EF4-FFF2-40B4-BE49-F238E27FC236}">
              <a16:creationId xmlns:a16="http://schemas.microsoft.com/office/drawing/2014/main" id="{61A05774-2516-447C-BB5E-D53D9378E393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9989" name="図形 7">
          <a:extLst>
            <a:ext uri="{FF2B5EF4-FFF2-40B4-BE49-F238E27FC236}">
              <a16:creationId xmlns:a16="http://schemas.microsoft.com/office/drawing/2014/main" id="{FBD86CF5-2CFE-4414-A392-5ADFC7E12524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9990" name="Line 2">
          <a:extLst>
            <a:ext uri="{FF2B5EF4-FFF2-40B4-BE49-F238E27FC236}">
              <a16:creationId xmlns:a16="http://schemas.microsoft.com/office/drawing/2014/main" id="{5CD6BCB2-5A15-49E2-9CB5-57C22BCBD9C2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9991" name="Line 3">
          <a:extLst>
            <a:ext uri="{FF2B5EF4-FFF2-40B4-BE49-F238E27FC236}">
              <a16:creationId xmlns:a16="http://schemas.microsoft.com/office/drawing/2014/main" id="{FB73C741-C665-4458-A1AA-DCE1151CE6EA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9992" name="図形 10">
          <a:extLst>
            <a:ext uri="{FF2B5EF4-FFF2-40B4-BE49-F238E27FC236}">
              <a16:creationId xmlns:a16="http://schemas.microsoft.com/office/drawing/2014/main" id="{E083D9C4-0231-4096-8D3B-0D1AC2D55A38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9993" name="Line 5">
          <a:extLst>
            <a:ext uri="{FF2B5EF4-FFF2-40B4-BE49-F238E27FC236}">
              <a16:creationId xmlns:a16="http://schemas.microsoft.com/office/drawing/2014/main" id="{1917FF41-FE1C-4D03-8AC4-88D2890B8098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9994" name="Line 6">
          <a:extLst>
            <a:ext uri="{FF2B5EF4-FFF2-40B4-BE49-F238E27FC236}">
              <a16:creationId xmlns:a16="http://schemas.microsoft.com/office/drawing/2014/main" id="{3C30E6C2-44D5-41AD-8A33-BD7BDF4EE54F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9995" name="Line 7">
          <a:extLst>
            <a:ext uri="{FF2B5EF4-FFF2-40B4-BE49-F238E27FC236}">
              <a16:creationId xmlns:a16="http://schemas.microsoft.com/office/drawing/2014/main" id="{70534C18-C3A2-4501-861A-2562FC82BFBA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9996" name="Line 8">
          <a:extLst>
            <a:ext uri="{FF2B5EF4-FFF2-40B4-BE49-F238E27FC236}">
              <a16:creationId xmlns:a16="http://schemas.microsoft.com/office/drawing/2014/main" id="{0EFCE8C1-B076-4554-80D8-CBC476A86B04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9997" name="Line 9">
          <a:extLst>
            <a:ext uri="{FF2B5EF4-FFF2-40B4-BE49-F238E27FC236}">
              <a16:creationId xmlns:a16="http://schemas.microsoft.com/office/drawing/2014/main" id="{FE425313-953C-49EA-9952-098938EAE70F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9998" name="Line 10">
          <a:extLst>
            <a:ext uri="{FF2B5EF4-FFF2-40B4-BE49-F238E27FC236}">
              <a16:creationId xmlns:a16="http://schemas.microsoft.com/office/drawing/2014/main" id="{6FCC3307-30F2-4AD4-8810-ABBD53B71D96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9999" name="図形 10">
          <a:extLst>
            <a:ext uri="{FF2B5EF4-FFF2-40B4-BE49-F238E27FC236}">
              <a16:creationId xmlns:a16="http://schemas.microsoft.com/office/drawing/2014/main" id="{EA4F7AD5-DC00-43AF-8B37-E64F228FA494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0000" name="図形 11">
          <a:extLst>
            <a:ext uri="{FF2B5EF4-FFF2-40B4-BE49-F238E27FC236}">
              <a16:creationId xmlns:a16="http://schemas.microsoft.com/office/drawing/2014/main" id="{C5775A85-A5EF-494D-8C02-383A8E4F72C3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0001" name="Line 13">
          <a:extLst>
            <a:ext uri="{FF2B5EF4-FFF2-40B4-BE49-F238E27FC236}">
              <a16:creationId xmlns:a16="http://schemas.microsoft.com/office/drawing/2014/main" id="{670D45EA-D6F3-4469-9B64-AB94487CD372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20002" name="図形 10">
          <a:extLst>
            <a:ext uri="{FF2B5EF4-FFF2-40B4-BE49-F238E27FC236}">
              <a16:creationId xmlns:a16="http://schemas.microsoft.com/office/drawing/2014/main" id="{CD812A63-F80F-48C4-84F7-24C9018349E8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20003" name="図形 7">
          <a:extLst>
            <a:ext uri="{FF2B5EF4-FFF2-40B4-BE49-F238E27FC236}">
              <a16:creationId xmlns:a16="http://schemas.microsoft.com/office/drawing/2014/main" id="{8D321DBC-A65A-4A89-B1E0-DF710D9F8CBB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20004" name="Line 16">
          <a:extLst>
            <a:ext uri="{FF2B5EF4-FFF2-40B4-BE49-F238E27FC236}">
              <a16:creationId xmlns:a16="http://schemas.microsoft.com/office/drawing/2014/main" id="{51F0772B-6122-47CD-87B9-8D8DFFB9C27E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20005" name="Line 17">
          <a:extLst>
            <a:ext uri="{FF2B5EF4-FFF2-40B4-BE49-F238E27FC236}">
              <a16:creationId xmlns:a16="http://schemas.microsoft.com/office/drawing/2014/main" id="{22A8D009-B909-40A9-B424-36BFD1DCC0C5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20006" name="図形 10">
          <a:extLst>
            <a:ext uri="{FF2B5EF4-FFF2-40B4-BE49-F238E27FC236}">
              <a16:creationId xmlns:a16="http://schemas.microsoft.com/office/drawing/2014/main" id="{AEBD0568-C3F2-4F0E-AD66-EAD79D7E9E81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20007" name="図形 10">
          <a:extLst>
            <a:ext uri="{FF2B5EF4-FFF2-40B4-BE49-F238E27FC236}">
              <a16:creationId xmlns:a16="http://schemas.microsoft.com/office/drawing/2014/main" id="{1F0FD485-4CE8-4E81-86C4-A95AE7030FAC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22607" name="図形 7">
          <a:extLst>
            <a:ext uri="{FF2B5EF4-FFF2-40B4-BE49-F238E27FC236}">
              <a16:creationId xmlns:a16="http://schemas.microsoft.com/office/drawing/2014/main" id="{03E0C701-EA31-4FE2-9E2A-C7BFA6178292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22608" name="Line 2">
          <a:extLst>
            <a:ext uri="{FF2B5EF4-FFF2-40B4-BE49-F238E27FC236}">
              <a16:creationId xmlns:a16="http://schemas.microsoft.com/office/drawing/2014/main" id="{E4F41A5F-5AAF-4B0B-B799-F210340CF359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22609" name="Line 3">
          <a:extLst>
            <a:ext uri="{FF2B5EF4-FFF2-40B4-BE49-F238E27FC236}">
              <a16:creationId xmlns:a16="http://schemas.microsoft.com/office/drawing/2014/main" id="{418E34C9-BAAD-46B2-A712-ABB9DFED32A0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22610" name="図形 10">
          <a:extLst>
            <a:ext uri="{FF2B5EF4-FFF2-40B4-BE49-F238E27FC236}">
              <a16:creationId xmlns:a16="http://schemas.microsoft.com/office/drawing/2014/main" id="{6B8901B0-82F4-465F-8C04-136F6B7A718C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22611" name="Line 5">
          <a:extLst>
            <a:ext uri="{FF2B5EF4-FFF2-40B4-BE49-F238E27FC236}">
              <a16:creationId xmlns:a16="http://schemas.microsoft.com/office/drawing/2014/main" id="{2A051719-CC24-4D6B-92ED-3A304A9E79FB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22612" name="Line 6">
          <a:extLst>
            <a:ext uri="{FF2B5EF4-FFF2-40B4-BE49-F238E27FC236}">
              <a16:creationId xmlns:a16="http://schemas.microsoft.com/office/drawing/2014/main" id="{079AFB72-E7DC-456A-90F5-9717FEB9E6CC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22613" name="Line 7">
          <a:extLst>
            <a:ext uri="{FF2B5EF4-FFF2-40B4-BE49-F238E27FC236}">
              <a16:creationId xmlns:a16="http://schemas.microsoft.com/office/drawing/2014/main" id="{2479EF0C-6DB8-4608-8501-06AD4CA465F4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22614" name="Line 8">
          <a:extLst>
            <a:ext uri="{FF2B5EF4-FFF2-40B4-BE49-F238E27FC236}">
              <a16:creationId xmlns:a16="http://schemas.microsoft.com/office/drawing/2014/main" id="{A9A8194B-94E5-4199-B5C8-18552379C5FB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22615" name="Line 9">
          <a:extLst>
            <a:ext uri="{FF2B5EF4-FFF2-40B4-BE49-F238E27FC236}">
              <a16:creationId xmlns:a16="http://schemas.microsoft.com/office/drawing/2014/main" id="{A421C989-C404-47FF-BB98-85E9FA2EF182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22616" name="Line 10">
          <a:extLst>
            <a:ext uri="{FF2B5EF4-FFF2-40B4-BE49-F238E27FC236}">
              <a16:creationId xmlns:a16="http://schemas.microsoft.com/office/drawing/2014/main" id="{F3D05A51-97B3-4CC7-963B-F2D2E6D2471F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2617" name="図形 10">
          <a:extLst>
            <a:ext uri="{FF2B5EF4-FFF2-40B4-BE49-F238E27FC236}">
              <a16:creationId xmlns:a16="http://schemas.microsoft.com/office/drawing/2014/main" id="{FBA85E2F-7541-4D92-B427-34578332A7C6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2618" name="図形 11">
          <a:extLst>
            <a:ext uri="{FF2B5EF4-FFF2-40B4-BE49-F238E27FC236}">
              <a16:creationId xmlns:a16="http://schemas.microsoft.com/office/drawing/2014/main" id="{21DB9077-1138-4359-8880-F1E5A7F46093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2619" name="Line 13">
          <a:extLst>
            <a:ext uri="{FF2B5EF4-FFF2-40B4-BE49-F238E27FC236}">
              <a16:creationId xmlns:a16="http://schemas.microsoft.com/office/drawing/2014/main" id="{91B206A1-3114-4A8B-BD03-9DDA86F28150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22620" name="図形 10">
          <a:extLst>
            <a:ext uri="{FF2B5EF4-FFF2-40B4-BE49-F238E27FC236}">
              <a16:creationId xmlns:a16="http://schemas.microsoft.com/office/drawing/2014/main" id="{6F69306E-2B4B-46C9-8A0B-5E14E9FB2BA9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22621" name="図形 7">
          <a:extLst>
            <a:ext uri="{FF2B5EF4-FFF2-40B4-BE49-F238E27FC236}">
              <a16:creationId xmlns:a16="http://schemas.microsoft.com/office/drawing/2014/main" id="{CA4E81AC-54E5-44A0-8F70-97612FDE474B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22622" name="Line 16">
          <a:extLst>
            <a:ext uri="{FF2B5EF4-FFF2-40B4-BE49-F238E27FC236}">
              <a16:creationId xmlns:a16="http://schemas.microsoft.com/office/drawing/2014/main" id="{180A5917-E8DE-411B-8E6C-C3403E13DA06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22623" name="Line 17">
          <a:extLst>
            <a:ext uri="{FF2B5EF4-FFF2-40B4-BE49-F238E27FC236}">
              <a16:creationId xmlns:a16="http://schemas.microsoft.com/office/drawing/2014/main" id="{0F89CEBA-F740-4205-8BD6-FE21836DC484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22624" name="図形 10">
          <a:extLst>
            <a:ext uri="{FF2B5EF4-FFF2-40B4-BE49-F238E27FC236}">
              <a16:creationId xmlns:a16="http://schemas.microsoft.com/office/drawing/2014/main" id="{F7FAD55C-FA7E-4FD6-80B9-5D88633DEF08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22625" name="図形 10">
          <a:extLst>
            <a:ext uri="{FF2B5EF4-FFF2-40B4-BE49-F238E27FC236}">
              <a16:creationId xmlns:a16="http://schemas.microsoft.com/office/drawing/2014/main" id="{95CEB781-3142-4397-8F08-761EF15E6F6E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22626" name="図形 7">
          <a:extLst>
            <a:ext uri="{FF2B5EF4-FFF2-40B4-BE49-F238E27FC236}">
              <a16:creationId xmlns:a16="http://schemas.microsoft.com/office/drawing/2014/main" id="{6DE76419-78CD-4004-B38C-61CCC7D53349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22627" name="Line 2">
          <a:extLst>
            <a:ext uri="{FF2B5EF4-FFF2-40B4-BE49-F238E27FC236}">
              <a16:creationId xmlns:a16="http://schemas.microsoft.com/office/drawing/2014/main" id="{F65B613B-3B2F-4112-8D0E-00DF53B05B44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22628" name="Line 3">
          <a:extLst>
            <a:ext uri="{FF2B5EF4-FFF2-40B4-BE49-F238E27FC236}">
              <a16:creationId xmlns:a16="http://schemas.microsoft.com/office/drawing/2014/main" id="{06F55387-E499-4535-A538-BEE875B37984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22629" name="図形 10">
          <a:extLst>
            <a:ext uri="{FF2B5EF4-FFF2-40B4-BE49-F238E27FC236}">
              <a16:creationId xmlns:a16="http://schemas.microsoft.com/office/drawing/2014/main" id="{D48A1728-A767-41F6-80FA-70C503E7E60F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22630" name="Line 5">
          <a:extLst>
            <a:ext uri="{FF2B5EF4-FFF2-40B4-BE49-F238E27FC236}">
              <a16:creationId xmlns:a16="http://schemas.microsoft.com/office/drawing/2014/main" id="{E7B494CF-9F3B-49DE-8DD7-C04262FFFE25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22631" name="Line 6">
          <a:extLst>
            <a:ext uri="{FF2B5EF4-FFF2-40B4-BE49-F238E27FC236}">
              <a16:creationId xmlns:a16="http://schemas.microsoft.com/office/drawing/2014/main" id="{6698CAAA-13F1-48E0-9B2B-8AB33823DB13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22632" name="Line 7">
          <a:extLst>
            <a:ext uri="{FF2B5EF4-FFF2-40B4-BE49-F238E27FC236}">
              <a16:creationId xmlns:a16="http://schemas.microsoft.com/office/drawing/2014/main" id="{F200B07E-2ABF-46E8-AC53-838FEFC4FBF6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22633" name="Line 8">
          <a:extLst>
            <a:ext uri="{FF2B5EF4-FFF2-40B4-BE49-F238E27FC236}">
              <a16:creationId xmlns:a16="http://schemas.microsoft.com/office/drawing/2014/main" id="{6C2EC008-2DCC-4C35-9D4C-AD5A925C3251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22634" name="Line 9">
          <a:extLst>
            <a:ext uri="{FF2B5EF4-FFF2-40B4-BE49-F238E27FC236}">
              <a16:creationId xmlns:a16="http://schemas.microsoft.com/office/drawing/2014/main" id="{3FF2DA0A-316B-471A-9E71-EF2874A1E438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22635" name="Line 10">
          <a:extLst>
            <a:ext uri="{FF2B5EF4-FFF2-40B4-BE49-F238E27FC236}">
              <a16:creationId xmlns:a16="http://schemas.microsoft.com/office/drawing/2014/main" id="{4419DCAF-E475-4294-977B-2155C6F33C8D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2636" name="図形 10">
          <a:extLst>
            <a:ext uri="{FF2B5EF4-FFF2-40B4-BE49-F238E27FC236}">
              <a16:creationId xmlns:a16="http://schemas.microsoft.com/office/drawing/2014/main" id="{BD724EE3-F06E-4FAC-8FD7-2CA7D51F5E44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2637" name="図形 11">
          <a:extLst>
            <a:ext uri="{FF2B5EF4-FFF2-40B4-BE49-F238E27FC236}">
              <a16:creationId xmlns:a16="http://schemas.microsoft.com/office/drawing/2014/main" id="{13104848-F3EA-4490-9221-67F4D53A9475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2638" name="Line 13">
          <a:extLst>
            <a:ext uri="{FF2B5EF4-FFF2-40B4-BE49-F238E27FC236}">
              <a16:creationId xmlns:a16="http://schemas.microsoft.com/office/drawing/2014/main" id="{5BD7CE3B-898F-4A34-B982-8BB0A9941888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22639" name="図形 10">
          <a:extLst>
            <a:ext uri="{FF2B5EF4-FFF2-40B4-BE49-F238E27FC236}">
              <a16:creationId xmlns:a16="http://schemas.microsoft.com/office/drawing/2014/main" id="{75EF230F-0D3D-4E48-BB4E-F197D7F9AFA8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22640" name="図形 7">
          <a:extLst>
            <a:ext uri="{FF2B5EF4-FFF2-40B4-BE49-F238E27FC236}">
              <a16:creationId xmlns:a16="http://schemas.microsoft.com/office/drawing/2014/main" id="{0A5354D4-0F35-40AD-B77E-20EF7DC1ACF2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22641" name="Line 16">
          <a:extLst>
            <a:ext uri="{FF2B5EF4-FFF2-40B4-BE49-F238E27FC236}">
              <a16:creationId xmlns:a16="http://schemas.microsoft.com/office/drawing/2014/main" id="{651F0EFE-3782-425B-9FB7-ECF44F7DCDEF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22642" name="Line 17">
          <a:extLst>
            <a:ext uri="{FF2B5EF4-FFF2-40B4-BE49-F238E27FC236}">
              <a16:creationId xmlns:a16="http://schemas.microsoft.com/office/drawing/2014/main" id="{D8586269-003F-404B-A77C-CBA6952ED3F7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22643" name="図形 10">
          <a:extLst>
            <a:ext uri="{FF2B5EF4-FFF2-40B4-BE49-F238E27FC236}">
              <a16:creationId xmlns:a16="http://schemas.microsoft.com/office/drawing/2014/main" id="{279AB87B-FCE5-4A5C-8AC7-FAD03C4DCA50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22644" name="図形 10">
          <a:extLst>
            <a:ext uri="{FF2B5EF4-FFF2-40B4-BE49-F238E27FC236}">
              <a16:creationId xmlns:a16="http://schemas.microsoft.com/office/drawing/2014/main" id="{896A3DD5-A9DD-46DE-91E4-586F58C72950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2973" name="図形 7">
          <a:extLst>
            <a:ext uri="{FF2B5EF4-FFF2-40B4-BE49-F238E27FC236}">
              <a16:creationId xmlns:a16="http://schemas.microsoft.com/office/drawing/2014/main" id="{19CB469A-41BC-4C56-9CE7-754DEE56AE45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2974" name="Line 2">
          <a:extLst>
            <a:ext uri="{FF2B5EF4-FFF2-40B4-BE49-F238E27FC236}">
              <a16:creationId xmlns:a16="http://schemas.microsoft.com/office/drawing/2014/main" id="{A49E07F4-93EA-4D87-81FD-C7715F0DE64D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2975" name="Line 3">
          <a:extLst>
            <a:ext uri="{FF2B5EF4-FFF2-40B4-BE49-F238E27FC236}">
              <a16:creationId xmlns:a16="http://schemas.microsoft.com/office/drawing/2014/main" id="{7189142E-178B-4B6D-B0BF-67066DDCF40E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2976" name="図形 10">
          <a:extLst>
            <a:ext uri="{FF2B5EF4-FFF2-40B4-BE49-F238E27FC236}">
              <a16:creationId xmlns:a16="http://schemas.microsoft.com/office/drawing/2014/main" id="{91056480-56A6-4C7A-94EB-CD4DE33C459D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2977" name="Line 5">
          <a:extLst>
            <a:ext uri="{FF2B5EF4-FFF2-40B4-BE49-F238E27FC236}">
              <a16:creationId xmlns:a16="http://schemas.microsoft.com/office/drawing/2014/main" id="{18790B6C-2A8B-43D3-86A7-DAAB9C3679C6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2978" name="Line 6">
          <a:extLst>
            <a:ext uri="{FF2B5EF4-FFF2-40B4-BE49-F238E27FC236}">
              <a16:creationId xmlns:a16="http://schemas.microsoft.com/office/drawing/2014/main" id="{57670F7A-FCD9-4068-B73D-96D4455307F0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2979" name="Line 7">
          <a:extLst>
            <a:ext uri="{FF2B5EF4-FFF2-40B4-BE49-F238E27FC236}">
              <a16:creationId xmlns:a16="http://schemas.microsoft.com/office/drawing/2014/main" id="{AC81B147-D7F5-4BE4-BE4B-C6999A2042EC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2980" name="Line 8">
          <a:extLst>
            <a:ext uri="{FF2B5EF4-FFF2-40B4-BE49-F238E27FC236}">
              <a16:creationId xmlns:a16="http://schemas.microsoft.com/office/drawing/2014/main" id="{ADE580B1-C16D-4BEA-8CBE-B03EF1AE972D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2981" name="Line 9">
          <a:extLst>
            <a:ext uri="{FF2B5EF4-FFF2-40B4-BE49-F238E27FC236}">
              <a16:creationId xmlns:a16="http://schemas.microsoft.com/office/drawing/2014/main" id="{2812E375-6D2C-417D-A330-604016C0B932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2982" name="Line 10">
          <a:extLst>
            <a:ext uri="{FF2B5EF4-FFF2-40B4-BE49-F238E27FC236}">
              <a16:creationId xmlns:a16="http://schemas.microsoft.com/office/drawing/2014/main" id="{FBAAF42E-662B-4563-A6D3-DD0926AEBD7E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2983" name="図形 10">
          <a:extLst>
            <a:ext uri="{FF2B5EF4-FFF2-40B4-BE49-F238E27FC236}">
              <a16:creationId xmlns:a16="http://schemas.microsoft.com/office/drawing/2014/main" id="{D608F9C5-5E4E-4920-9E17-999DBFEA9DD7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2984" name="図形 11">
          <a:extLst>
            <a:ext uri="{FF2B5EF4-FFF2-40B4-BE49-F238E27FC236}">
              <a16:creationId xmlns:a16="http://schemas.microsoft.com/office/drawing/2014/main" id="{BBCBEE06-2B01-4C33-B064-D92D081D1FCB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2985" name="Line 13">
          <a:extLst>
            <a:ext uri="{FF2B5EF4-FFF2-40B4-BE49-F238E27FC236}">
              <a16:creationId xmlns:a16="http://schemas.microsoft.com/office/drawing/2014/main" id="{97FA84EE-FC4B-4173-B31B-F12B81AECF77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2986" name="図形 10">
          <a:extLst>
            <a:ext uri="{FF2B5EF4-FFF2-40B4-BE49-F238E27FC236}">
              <a16:creationId xmlns:a16="http://schemas.microsoft.com/office/drawing/2014/main" id="{5444C3F9-8FEE-496A-8E86-C25460E8A51C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2987" name="図形 7">
          <a:extLst>
            <a:ext uri="{FF2B5EF4-FFF2-40B4-BE49-F238E27FC236}">
              <a16:creationId xmlns:a16="http://schemas.microsoft.com/office/drawing/2014/main" id="{6D49FF3A-3872-4AE8-B88F-FB6DC04773DF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2988" name="Line 16">
          <a:extLst>
            <a:ext uri="{FF2B5EF4-FFF2-40B4-BE49-F238E27FC236}">
              <a16:creationId xmlns:a16="http://schemas.microsoft.com/office/drawing/2014/main" id="{68D78582-6F58-4389-9FAB-347EC31C7C43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2989" name="Line 17">
          <a:extLst>
            <a:ext uri="{FF2B5EF4-FFF2-40B4-BE49-F238E27FC236}">
              <a16:creationId xmlns:a16="http://schemas.microsoft.com/office/drawing/2014/main" id="{CCFD64C3-88B3-4D94-8260-83640AF4A863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2990" name="図形 10">
          <a:extLst>
            <a:ext uri="{FF2B5EF4-FFF2-40B4-BE49-F238E27FC236}">
              <a16:creationId xmlns:a16="http://schemas.microsoft.com/office/drawing/2014/main" id="{614E87B9-900C-412D-BEBC-6F3B476F2BEE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2991" name="図形 10">
          <a:extLst>
            <a:ext uri="{FF2B5EF4-FFF2-40B4-BE49-F238E27FC236}">
              <a16:creationId xmlns:a16="http://schemas.microsoft.com/office/drawing/2014/main" id="{4B2AB997-2854-4921-8833-53C47A99FD11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2063" name="図形 7">
          <a:extLst>
            <a:ext uri="{FF2B5EF4-FFF2-40B4-BE49-F238E27FC236}">
              <a16:creationId xmlns:a16="http://schemas.microsoft.com/office/drawing/2014/main" id="{CAD3850F-6FF5-4997-B537-B78FF10D6060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2064" name="Line 2">
          <a:extLst>
            <a:ext uri="{FF2B5EF4-FFF2-40B4-BE49-F238E27FC236}">
              <a16:creationId xmlns:a16="http://schemas.microsoft.com/office/drawing/2014/main" id="{71793B00-A8CA-4785-BB0E-D2F71C56C7A7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2065" name="Line 3">
          <a:extLst>
            <a:ext uri="{FF2B5EF4-FFF2-40B4-BE49-F238E27FC236}">
              <a16:creationId xmlns:a16="http://schemas.microsoft.com/office/drawing/2014/main" id="{A8035189-F01C-47B9-9769-C6365A5AD1C2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2066" name="図形 10">
          <a:extLst>
            <a:ext uri="{FF2B5EF4-FFF2-40B4-BE49-F238E27FC236}">
              <a16:creationId xmlns:a16="http://schemas.microsoft.com/office/drawing/2014/main" id="{175B8E6C-6393-4B7F-AC95-7F3DC72900A9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2067" name="Line 5">
          <a:extLst>
            <a:ext uri="{FF2B5EF4-FFF2-40B4-BE49-F238E27FC236}">
              <a16:creationId xmlns:a16="http://schemas.microsoft.com/office/drawing/2014/main" id="{F3DE89CF-D4E3-4E70-932F-B57C631C437A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2068" name="Line 6">
          <a:extLst>
            <a:ext uri="{FF2B5EF4-FFF2-40B4-BE49-F238E27FC236}">
              <a16:creationId xmlns:a16="http://schemas.microsoft.com/office/drawing/2014/main" id="{6F10302E-0D36-4530-8CF5-44F9A06E9283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2069" name="Line 7">
          <a:extLst>
            <a:ext uri="{FF2B5EF4-FFF2-40B4-BE49-F238E27FC236}">
              <a16:creationId xmlns:a16="http://schemas.microsoft.com/office/drawing/2014/main" id="{3DB344F8-2036-4AF4-9C96-33CFFDE4C9BF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2070" name="Line 8">
          <a:extLst>
            <a:ext uri="{FF2B5EF4-FFF2-40B4-BE49-F238E27FC236}">
              <a16:creationId xmlns:a16="http://schemas.microsoft.com/office/drawing/2014/main" id="{05087A7A-EAE0-4E32-B112-EB7DCB8F84CD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2071" name="Line 9">
          <a:extLst>
            <a:ext uri="{FF2B5EF4-FFF2-40B4-BE49-F238E27FC236}">
              <a16:creationId xmlns:a16="http://schemas.microsoft.com/office/drawing/2014/main" id="{C679F1DE-096D-40FA-BB92-DBDAB814C79C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2072" name="Line 10">
          <a:extLst>
            <a:ext uri="{FF2B5EF4-FFF2-40B4-BE49-F238E27FC236}">
              <a16:creationId xmlns:a16="http://schemas.microsoft.com/office/drawing/2014/main" id="{3D84E6DD-717B-4F13-AB49-D064F84C766C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2073" name="図形 10">
          <a:extLst>
            <a:ext uri="{FF2B5EF4-FFF2-40B4-BE49-F238E27FC236}">
              <a16:creationId xmlns:a16="http://schemas.microsoft.com/office/drawing/2014/main" id="{1609258D-38C2-4CD7-87A8-4C2AE0345562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2074" name="図形 11">
          <a:extLst>
            <a:ext uri="{FF2B5EF4-FFF2-40B4-BE49-F238E27FC236}">
              <a16:creationId xmlns:a16="http://schemas.microsoft.com/office/drawing/2014/main" id="{12291DD0-6383-462C-BDC9-24423F8C5D95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2075" name="Line 13">
          <a:extLst>
            <a:ext uri="{FF2B5EF4-FFF2-40B4-BE49-F238E27FC236}">
              <a16:creationId xmlns:a16="http://schemas.microsoft.com/office/drawing/2014/main" id="{4269F089-B3DA-45E5-A686-46DF48C96259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2076" name="図形 10">
          <a:extLst>
            <a:ext uri="{FF2B5EF4-FFF2-40B4-BE49-F238E27FC236}">
              <a16:creationId xmlns:a16="http://schemas.microsoft.com/office/drawing/2014/main" id="{5FBA306E-EE26-4BE8-BFDA-1ACA3C9C7F17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2077" name="図形 7">
          <a:extLst>
            <a:ext uri="{FF2B5EF4-FFF2-40B4-BE49-F238E27FC236}">
              <a16:creationId xmlns:a16="http://schemas.microsoft.com/office/drawing/2014/main" id="{73A352D6-C430-4F3B-AB60-9A21098B5619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2078" name="Line 16">
          <a:extLst>
            <a:ext uri="{FF2B5EF4-FFF2-40B4-BE49-F238E27FC236}">
              <a16:creationId xmlns:a16="http://schemas.microsoft.com/office/drawing/2014/main" id="{ABA616F5-05DC-4496-9EE4-F327FB6B4C25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2079" name="Line 17">
          <a:extLst>
            <a:ext uri="{FF2B5EF4-FFF2-40B4-BE49-F238E27FC236}">
              <a16:creationId xmlns:a16="http://schemas.microsoft.com/office/drawing/2014/main" id="{9B7A18E8-FE31-49AA-8CEB-935B3D8C8211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2080" name="図形 10">
          <a:extLst>
            <a:ext uri="{FF2B5EF4-FFF2-40B4-BE49-F238E27FC236}">
              <a16:creationId xmlns:a16="http://schemas.microsoft.com/office/drawing/2014/main" id="{57F8B5BC-7BB3-486A-926B-42921316F200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2081" name="図形 10">
          <a:extLst>
            <a:ext uri="{FF2B5EF4-FFF2-40B4-BE49-F238E27FC236}">
              <a16:creationId xmlns:a16="http://schemas.microsoft.com/office/drawing/2014/main" id="{0713D273-3A9A-405F-A7F4-9A3B30EBCDBE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1115" name="図形 7">
          <a:extLst>
            <a:ext uri="{FF2B5EF4-FFF2-40B4-BE49-F238E27FC236}">
              <a16:creationId xmlns:a16="http://schemas.microsoft.com/office/drawing/2014/main" id="{1A754B7D-0B61-48C7-92D0-5BCC08FE2050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1116" name="Line 2">
          <a:extLst>
            <a:ext uri="{FF2B5EF4-FFF2-40B4-BE49-F238E27FC236}">
              <a16:creationId xmlns:a16="http://schemas.microsoft.com/office/drawing/2014/main" id="{30223F93-DDEC-4A3D-8E05-815A53F1EAF2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1117" name="Line 3">
          <a:extLst>
            <a:ext uri="{FF2B5EF4-FFF2-40B4-BE49-F238E27FC236}">
              <a16:creationId xmlns:a16="http://schemas.microsoft.com/office/drawing/2014/main" id="{7BF4876F-D1D0-4131-98B6-AF65BB7E34C6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1118" name="図形 10">
          <a:extLst>
            <a:ext uri="{FF2B5EF4-FFF2-40B4-BE49-F238E27FC236}">
              <a16:creationId xmlns:a16="http://schemas.microsoft.com/office/drawing/2014/main" id="{182DDB04-62CD-4239-AC7E-89BA2492ED6F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1119" name="Line 5">
          <a:extLst>
            <a:ext uri="{FF2B5EF4-FFF2-40B4-BE49-F238E27FC236}">
              <a16:creationId xmlns:a16="http://schemas.microsoft.com/office/drawing/2014/main" id="{E0075A87-A62B-42D4-854D-4E8875A5F70E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1120" name="Line 6">
          <a:extLst>
            <a:ext uri="{FF2B5EF4-FFF2-40B4-BE49-F238E27FC236}">
              <a16:creationId xmlns:a16="http://schemas.microsoft.com/office/drawing/2014/main" id="{834D20A0-9C3E-474C-BC6D-3ABC85A49EE7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1121" name="Line 7">
          <a:extLst>
            <a:ext uri="{FF2B5EF4-FFF2-40B4-BE49-F238E27FC236}">
              <a16:creationId xmlns:a16="http://schemas.microsoft.com/office/drawing/2014/main" id="{984E71F6-3DE6-4EAF-851E-EF1A49A5B42A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1122" name="Line 8">
          <a:extLst>
            <a:ext uri="{FF2B5EF4-FFF2-40B4-BE49-F238E27FC236}">
              <a16:creationId xmlns:a16="http://schemas.microsoft.com/office/drawing/2014/main" id="{82314962-43E3-4ABD-9330-E5424D997B7B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1123" name="Line 9">
          <a:extLst>
            <a:ext uri="{FF2B5EF4-FFF2-40B4-BE49-F238E27FC236}">
              <a16:creationId xmlns:a16="http://schemas.microsoft.com/office/drawing/2014/main" id="{6FF667EA-4E60-4B68-A824-C3A778CB1B83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1124" name="Line 10">
          <a:extLst>
            <a:ext uri="{FF2B5EF4-FFF2-40B4-BE49-F238E27FC236}">
              <a16:creationId xmlns:a16="http://schemas.microsoft.com/office/drawing/2014/main" id="{75EF7D06-9179-40FF-9E97-20A125BE6640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1125" name="図形 10">
          <a:extLst>
            <a:ext uri="{FF2B5EF4-FFF2-40B4-BE49-F238E27FC236}">
              <a16:creationId xmlns:a16="http://schemas.microsoft.com/office/drawing/2014/main" id="{2860CFE7-B479-4C17-B098-3C4DBAEF4BB3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1126" name="図形 11">
          <a:extLst>
            <a:ext uri="{FF2B5EF4-FFF2-40B4-BE49-F238E27FC236}">
              <a16:creationId xmlns:a16="http://schemas.microsoft.com/office/drawing/2014/main" id="{F366D6A1-1D70-4351-9FE8-3FE43B107D1D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1127" name="Line 13">
          <a:extLst>
            <a:ext uri="{FF2B5EF4-FFF2-40B4-BE49-F238E27FC236}">
              <a16:creationId xmlns:a16="http://schemas.microsoft.com/office/drawing/2014/main" id="{F97C571B-E4AC-4EE6-A4C7-E8A2A4109D50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1128" name="図形 10">
          <a:extLst>
            <a:ext uri="{FF2B5EF4-FFF2-40B4-BE49-F238E27FC236}">
              <a16:creationId xmlns:a16="http://schemas.microsoft.com/office/drawing/2014/main" id="{3595EAAB-FD72-47E0-8A5A-E3967C76F244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1129" name="図形 7">
          <a:extLst>
            <a:ext uri="{FF2B5EF4-FFF2-40B4-BE49-F238E27FC236}">
              <a16:creationId xmlns:a16="http://schemas.microsoft.com/office/drawing/2014/main" id="{157A3113-C953-4DEC-98A0-DB763955DA06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1130" name="Line 16">
          <a:extLst>
            <a:ext uri="{FF2B5EF4-FFF2-40B4-BE49-F238E27FC236}">
              <a16:creationId xmlns:a16="http://schemas.microsoft.com/office/drawing/2014/main" id="{739B8651-D572-421A-8DB2-5FA2EA2813F0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1131" name="Line 17">
          <a:extLst>
            <a:ext uri="{FF2B5EF4-FFF2-40B4-BE49-F238E27FC236}">
              <a16:creationId xmlns:a16="http://schemas.microsoft.com/office/drawing/2014/main" id="{9BF07FC4-98DF-43DD-9A51-06656B9B6FB9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1132" name="図形 10">
          <a:extLst>
            <a:ext uri="{FF2B5EF4-FFF2-40B4-BE49-F238E27FC236}">
              <a16:creationId xmlns:a16="http://schemas.microsoft.com/office/drawing/2014/main" id="{560C82A0-AF4C-4317-973F-A1E03A7E2FD0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1133" name="図形 10">
          <a:extLst>
            <a:ext uri="{FF2B5EF4-FFF2-40B4-BE49-F238E27FC236}">
              <a16:creationId xmlns:a16="http://schemas.microsoft.com/office/drawing/2014/main" id="{AB29DDA5-0DDE-41BE-A0DD-88128486CB56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0167" name="図形 7">
          <a:extLst>
            <a:ext uri="{FF2B5EF4-FFF2-40B4-BE49-F238E27FC236}">
              <a16:creationId xmlns:a16="http://schemas.microsoft.com/office/drawing/2014/main" id="{120FEB25-3FB0-4D21-AB36-4A8377978222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0168" name="Line 2">
          <a:extLst>
            <a:ext uri="{FF2B5EF4-FFF2-40B4-BE49-F238E27FC236}">
              <a16:creationId xmlns:a16="http://schemas.microsoft.com/office/drawing/2014/main" id="{ECEA843F-8B03-4F03-B60E-FC957C7E2E84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0169" name="Line 3">
          <a:extLst>
            <a:ext uri="{FF2B5EF4-FFF2-40B4-BE49-F238E27FC236}">
              <a16:creationId xmlns:a16="http://schemas.microsoft.com/office/drawing/2014/main" id="{D277AC60-918D-467E-BD94-DEBB61025901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0170" name="図形 10">
          <a:extLst>
            <a:ext uri="{FF2B5EF4-FFF2-40B4-BE49-F238E27FC236}">
              <a16:creationId xmlns:a16="http://schemas.microsoft.com/office/drawing/2014/main" id="{BB81707A-6083-4076-A527-8681A8B614B0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0171" name="Line 5">
          <a:extLst>
            <a:ext uri="{FF2B5EF4-FFF2-40B4-BE49-F238E27FC236}">
              <a16:creationId xmlns:a16="http://schemas.microsoft.com/office/drawing/2014/main" id="{14136D1A-6AF7-429D-BA59-C397AD28D340}"/>
            </a:ext>
          </a:extLst>
        </xdr:cNvPr>
        <xdr:cNvSpPr>
          <a:spLocks noChangeShapeType="1"/>
        </xdr:cNvSpPr>
      </xdr:nvSpPr>
      <xdr:spPr bwMode="auto">
        <a:xfrm>
          <a:off x="53263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0172" name="Line 6">
          <a:extLst>
            <a:ext uri="{FF2B5EF4-FFF2-40B4-BE49-F238E27FC236}">
              <a16:creationId xmlns:a16="http://schemas.microsoft.com/office/drawing/2014/main" id="{185C3A03-8B24-4767-80A8-6046540D8674}"/>
            </a:ext>
          </a:extLst>
        </xdr:cNvPr>
        <xdr:cNvSpPr>
          <a:spLocks noChangeShapeType="1"/>
        </xdr:cNvSpPr>
      </xdr:nvSpPr>
      <xdr:spPr bwMode="auto">
        <a:xfrm>
          <a:off x="66675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0173" name="Line 7">
          <a:extLst>
            <a:ext uri="{FF2B5EF4-FFF2-40B4-BE49-F238E27FC236}">
              <a16:creationId xmlns:a16="http://schemas.microsoft.com/office/drawing/2014/main" id="{47CA5B5F-BC92-4ED7-BE8B-B86A95B6390B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0174" name="Line 8">
          <a:extLst>
            <a:ext uri="{FF2B5EF4-FFF2-40B4-BE49-F238E27FC236}">
              <a16:creationId xmlns:a16="http://schemas.microsoft.com/office/drawing/2014/main" id="{BC4418EA-6373-4A92-A5E0-A41DE8405BC5}"/>
            </a:ext>
          </a:extLst>
        </xdr:cNvPr>
        <xdr:cNvSpPr>
          <a:spLocks noChangeShapeType="1"/>
        </xdr:cNvSpPr>
      </xdr:nvSpPr>
      <xdr:spPr bwMode="auto">
        <a:xfrm>
          <a:off x="40995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0175" name="Line 9">
          <a:extLst>
            <a:ext uri="{FF2B5EF4-FFF2-40B4-BE49-F238E27FC236}">
              <a16:creationId xmlns:a16="http://schemas.microsoft.com/office/drawing/2014/main" id="{B02A7796-E245-4DE5-82FF-A8A1B81A41EB}"/>
            </a:ext>
          </a:extLst>
        </xdr:cNvPr>
        <xdr:cNvSpPr>
          <a:spLocks noChangeShapeType="1"/>
        </xdr:cNvSpPr>
      </xdr:nvSpPr>
      <xdr:spPr bwMode="auto">
        <a:xfrm>
          <a:off x="66446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0176" name="Line 10">
          <a:extLst>
            <a:ext uri="{FF2B5EF4-FFF2-40B4-BE49-F238E27FC236}">
              <a16:creationId xmlns:a16="http://schemas.microsoft.com/office/drawing/2014/main" id="{43FE0A09-00BB-48DA-94A2-F61E21C27993}"/>
            </a:ext>
          </a:extLst>
        </xdr:cNvPr>
        <xdr:cNvSpPr>
          <a:spLocks noChangeShapeType="1"/>
        </xdr:cNvSpPr>
      </xdr:nvSpPr>
      <xdr:spPr bwMode="auto">
        <a:xfrm>
          <a:off x="78181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0177" name="図形 10">
          <a:extLst>
            <a:ext uri="{FF2B5EF4-FFF2-40B4-BE49-F238E27FC236}">
              <a16:creationId xmlns:a16="http://schemas.microsoft.com/office/drawing/2014/main" id="{8AF81EB6-FB0C-47CE-8ABC-A275D3E14279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0178" name="図形 11">
          <a:extLst>
            <a:ext uri="{FF2B5EF4-FFF2-40B4-BE49-F238E27FC236}">
              <a16:creationId xmlns:a16="http://schemas.microsoft.com/office/drawing/2014/main" id="{439A3A33-3830-4324-8006-4F26F8BB5508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0179" name="Line 13">
          <a:extLst>
            <a:ext uri="{FF2B5EF4-FFF2-40B4-BE49-F238E27FC236}">
              <a16:creationId xmlns:a16="http://schemas.microsoft.com/office/drawing/2014/main" id="{662C6D4D-192B-40AE-BAF7-3248D6AC47BD}"/>
            </a:ext>
          </a:extLst>
        </xdr:cNvPr>
        <xdr:cNvSpPr>
          <a:spLocks noChangeShapeType="1"/>
        </xdr:cNvSpPr>
      </xdr:nvSpPr>
      <xdr:spPr bwMode="auto">
        <a:xfrm>
          <a:off x="32537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0180" name="図形 10">
          <a:extLst>
            <a:ext uri="{FF2B5EF4-FFF2-40B4-BE49-F238E27FC236}">
              <a16:creationId xmlns:a16="http://schemas.microsoft.com/office/drawing/2014/main" id="{D2BEA33C-69D3-4171-8702-158520B2807C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0181" name="図形 7">
          <a:extLst>
            <a:ext uri="{FF2B5EF4-FFF2-40B4-BE49-F238E27FC236}">
              <a16:creationId xmlns:a16="http://schemas.microsoft.com/office/drawing/2014/main" id="{CE6D58F3-14FC-4F47-8E90-569FA6D34190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0182" name="Line 16">
          <a:extLst>
            <a:ext uri="{FF2B5EF4-FFF2-40B4-BE49-F238E27FC236}">
              <a16:creationId xmlns:a16="http://schemas.microsoft.com/office/drawing/2014/main" id="{9119C317-BCC4-442F-A5E9-36005454D2DA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0183" name="Line 17">
          <a:extLst>
            <a:ext uri="{FF2B5EF4-FFF2-40B4-BE49-F238E27FC236}">
              <a16:creationId xmlns:a16="http://schemas.microsoft.com/office/drawing/2014/main" id="{6A39C07A-7B8B-4953-B4A1-8BD7FED6C0C6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0184" name="図形 10">
          <a:extLst>
            <a:ext uri="{FF2B5EF4-FFF2-40B4-BE49-F238E27FC236}">
              <a16:creationId xmlns:a16="http://schemas.microsoft.com/office/drawing/2014/main" id="{4EE868DC-B993-4A12-BF2E-6942C796CE67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0185" name="図形 10">
          <a:extLst>
            <a:ext uri="{FF2B5EF4-FFF2-40B4-BE49-F238E27FC236}">
              <a16:creationId xmlns:a16="http://schemas.microsoft.com/office/drawing/2014/main" id="{58712DB8-64EF-44DA-B62E-A511E9D45C63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23593" name="図形 7">
          <a:extLst>
            <a:ext uri="{FF2B5EF4-FFF2-40B4-BE49-F238E27FC236}">
              <a16:creationId xmlns:a16="http://schemas.microsoft.com/office/drawing/2014/main" id="{E309EB64-23A5-45A0-AA9F-634D87370307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23594" name="Line 2">
          <a:extLst>
            <a:ext uri="{FF2B5EF4-FFF2-40B4-BE49-F238E27FC236}">
              <a16:creationId xmlns:a16="http://schemas.microsoft.com/office/drawing/2014/main" id="{3FDCEF44-6FDF-4706-AC28-9C9B0BFAAF9B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23595" name="Line 3">
          <a:extLst>
            <a:ext uri="{FF2B5EF4-FFF2-40B4-BE49-F238E27FC236}">
              <a16:creationId xmlns:a16="http://schemas.microsoft.com/office/drawing/2014/main" id="{B43E5C08-983A-4293-A73B-5E51C440DB85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23596" name="図形 10">
          <a:extLst>
            <a:ext uri="{FF2B5EF4-FFF2-40B4-BE49-F238E27FC236}">
              <a16:creationId xmlns:a16="http://schemas.microsoft.com/office/drawing/2014/main" id="{6C129C5E-443A-4FF0-BE83-4A678B9D951E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23597" name="Line 5">
          <a:extLst>
            <a:ext uri="{FF2B5EF4-FFF2-40B4-BE49-F238E27FC236}">
              <a16:creationId xmlns:a16="http://schemas.microsoft.com/office/drawing/2014/main" id="{D5D75041-0D2B-4576-84DF-01505C00F9B3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23598" name="Line 6">
          <a:extLst>
            <a:ext uri="{FF2B5EF4-FFF2-40B4-BE49-F238E27FC236}">
              <a16:creationId xmlns:a16="http://schemas.microsoft.com/office/drawing/2014/main" id="{D4043123-A6B3-4B82-BB64-A23BBF704142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23599" name="Line 7">
          <a:extLst>
            <a:ext uri="{FF2B5EF4-FFF2-40B4-BE49-F238E27FC236}">
              <a16:creationId xmlns:a16="http://schemas.microsoft.com/office/drawing/2014/main" id="{DA082CB4-E4C9-4FB7-9047-62A736E403DA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23600" name="Line 8">
          <a:extLst>
            <a:ext uri="{FF2B5EF4-FFF2-40B4-BE49-F238E27FC236}">
              <a16:creationId xmlns:a16="http://schemas.microsoft.com/office/drawing/2014/main" id="{7BAB2ACA-39F2-41C9-BC64-6C5C348ABA8C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23601" name="Line 9">
          <a:extLst>
            <a:ext uri="{FF2B5EF4-FFF2-40B4-BE49-F238E27FC236}">
              <a16:creationId xmlns:a16="http://schemas.microsoft.com/office/drawing/2014/main" id="{5A8CEB48-E19E-4C05-8E17-36B34FE13374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23602" name="Line 10">
          <a:extLst>
            <a:ext uri="{FF2B5EF4-FFF2-40B4-BE49-F238E27FC236}">
              <a16:creationId xmlns:a16="http://schemas.microsoft.com/office/drawing/2014/main" id="{0BFB0B7B-29B8-4854-A894-F0ADB2F21E16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3603" name="図形 10">
          <a:extLst>
            <a:ext uri="{FF2B5EF4-FFF2-40B4-BE49-F238E27FC236}">
              <a16:creationId xmlns:a16="http://schemas.microsoft.com/office/drawing/2014/main" id="{3B546377-33A8-42F4-A0EA-D31BD517E578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3604" name="図形 11">
          <a:extLst>
            <a:ext uri="{FF2B5EF4-FFF2-40B4-BE49-F238E27FC236}">
              <a16:creationId xmlns:a16="http://schemas.microsoft.com/office/drawing/2014/main" id="{E2BACD81-7DF3-4B4F-B2D5-766AAD3ACF0B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3605" name="Line 13">
          <a:extLst>
            <a:ext uri="{FF2B5EF4-FFF2-40B4-BE49-F238E27FC236}">
              <a16:creationId xmlns:a16="http://schemas.microsoft.com/office/drawing/2014/main" id="{405946A4-F133-4D85-94EC-BA4DC7BC73D9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23606" name="図形 10">
          <a:extLst>
            <a:ext uri="{FF2B5EF4-FFF2-40B4-BE49-F238E27FC236}">
              <a16:creationId xmlns:a16="http://schemas.microsoft.com/office/drawing/2014/main" id="{500D3648-4669-4B8D-9F7E-1948CF45DDAF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23607" name="図形 7">
          <a:extLst>
            <a:ext uri="{FF2B5EF4-FFF2-40B4-BE49-F238E27FC236}">
              <a16:creationId xmlns:a16="http://schemas.microsoft.com/office/drawing/2014/main" id="{CCF95DBE-D9E8-485C-A1DD-FA8B66452CD0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23608" name="Line 16">
          <a:extLst>
            <a:ext uri="{FF2B5EF4-FFF2-40B4-BE49-F238E27FC236}">
              <a16:creationId xmlns:a16="http://schemas.microsoft.com/office/drawing/2014/main" id="{EDE29E11-3E67-44B9-B3F1-6B760A5E7051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23609" name="Line 17">
          <a:extLst>
            <a:ext uri="{FF2B5EF4-FFF2-40B4-BE49-F238E27FC236}">
              <a16:creationId xmlns:a16="http://schemas.microsoft.com/office/drawing/2014/main" id="{83F1F5C5-C27A-4325-B491-C224FB0E8A3A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23610" name="図形 10">
          <a:extLst>
            <a:ext uri="{FF2B5EF4-FFF2-40B4-BE49-F238E27FC236}">
              <a16:creationId xmlns:a16="http://schemas.microsoft.com/office/drawing/2014/main" id="{FE4C9005-87EC-4069-B056-E059A0B617BA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23611" name="図形 10">
          <a:extLst>
            <a:ext uri="{FF2B5EF4-FFF2-40B4-BE49-F238E27FC236}">
              <a16:creationId xmlns:a16="http://schemas.microsoft.com/office/drawing/2014/main" id="{D22796D3-7310-406F-9B1B-3D5C180A65B8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21659" name="図形 7">
          <a:extLst>
            <a:ext uri="{FF2B5EF4-FFF2-40B4-BE49-F238E27FC236}">
              <a16:creationId xmlns:a16="http://schemas.microsoft.com/office/drawing/2014/main" id="{F6162741-5673-43ED-8494-E16AB623AFD1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21660" name="Line 2">
          <a:extLst>
            <a:ext uri="{FF2B5EF4-FFF2-40B4-BE49-F238E27FC236}">
              <a16:creationId xmlns:a16="http://schemas.microsoft.com/office/drawing/2014/main" id="{B875AD4E-EE46-4D6E-9FA2-122B7C11B165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21661" name="Line 3">
          <a:extLst>
            <a:ext uri="{FF2B5EF4-FFF2-40B4-BE49-F238E27FC236}">
              <a16:creationId xmlns:a16="http://schemas.microsoft.com/office/drawing/2014/main" id="{12C09099-35E8-4D3D-846E-1854EEF29129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21662" name="図形 10">
          <a:extLst>
            <a:ext uri="{FF2B5EF4-FFF2-40B4-BE49-F238E27FC236}">
              <a16:creationId xmlns:a16="http://schemas.microsoft.com/office/drawing/2014/main" id="{87516497-AFB3-46F4-A597-4B5A2C11A42F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21663" name="Line 5">
          <a:extLst>
            <a:ext uri="{FF2B5EF4-FFF2-40B4-BE49-F238E27FC236}">
              <a16:creationId xmlns:a16="http://schemas.microsoft.com/office/drawing/2014/main" id="{A669C91D-2393-4FD2-A863-14EB50EEF31F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21664" name="Line 6">
          <a:extLst>
            <a:ext uri="{FF2B5EF4-FFF2-40B4-BE49-F238E27FC236}">
              <a16:creationId xmlns:a16="http://schemas.microsoft.com/office/drawing/2014/main" id="{4363E925-7B3A-4EC5-A2B1-0FF5C02D452E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21665" name="Line 7">
          <a:extLst>
            <a:ext uri="{FF2B5EF4-FFF2-40B4-BE49-F238E27FC236}">
              <a16:creationId xmlns:a16="http://schemas.microsoft.com/office/drawing/2014/main" id="{6981FC1C-FAFB-4AD2-AFAF-290A7EFACDF2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21666" name="Line 8">
          <a:extLst>
            <a:ext uri="{FF2B5EF4-FFF2-40B4-BE49-F238E27FC236}">
              <a16:creationId xmlns:a16="http://schemas.microsoft.com/office/drawing/2014/main" id="{2C243A40-BEA3-4144-BBC0-3C051330E869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21667" name="Line 9">
          <a:extLst>
            <a:ext uri="{FF2B5EF4-FFF2-40B4-BE49-F238E27FC236}">
              <a16:creationId xmlns:a16="http://schemas.microsoft.com/office/drawing/2014/main" id="{DAC20642-5B7F-4C3A-A449-3C040F46946D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21668" name="Line 10">
          <a:extLst>
            <a:ext uri="{FF2B5EF4-FFF2-40B4-BE49-F238E27FC236}">
              <a16:creationId xmlns:a16="http://schemas.microsoft.com/office/drawing/2014/main" id="{1D3E1FEB-D09E-4A85-B771-13DCA277C81B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1669" name="図形 10">
          <a:extLst>
            <a:ext uri="{FF2B5EF4-FFF2-40B4-BE49-F238E27FC236}">
              <a16:creationId xmlns:a16="http://schemas.microsoft.com/office/drawing/2014/main" id="{EDCA9840-7D86-461B-82FE-77FB53B9A649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21670" name="図形 11">
          <a:extLst>
            <a:ext uri="{FF2B5EF4-FFF2-40B4-BE49-F238E27FC236}">
              <a16:creationId xmlns:a16="http://schemas.microsoft.com/office/drawing/2014/main" id="{7B0ABB65-3FA6-4944-BF96-D78F9F2720E3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1671" name="Line 13">
          <a:extLst>
            <a:ext uri="{FF2B5EF4-FFF2-40B4-BE49-F238E27FC236}">
              <a16:creationId xmlns:a16="http://schemas.microsoft.com/office/drawing/2014/main" id="{CBBAB0A5-695F-4910-987F-54132506F5F6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21672" name="図形 10">
          <a:extLst>
            <a:ext uri="{FF2B5EF4-FFF2-40B4-BE49-F238E27FC236}">
              <a16:creationId xmlns:a16="http://schemas.microsoft.com/office/drawing/2014/main" id="{C1EA2E52-4EE1-4667-B7C0-6E2CFB2728DA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21673" name="図形 7">
          <a:extLst>
            <a:ext uri="{FF2B5EF4-FFF2-40B4-BE49-F238E27FC236}">
              <a16:creationId xmlns:a16="http://schemas.microsoft.com/office/drawing/2014/main" id="{B65DA487-FFF4-4D3F-A46D-0A9670090960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21674" name="Line 16">
          <a:extLst>
            <a:ext uri="{FF2B5EF4-FFF2-40B4-BE49-F238E27FC236}">
              <a16:creationId xmlns:a16="http://schemas.microsoft.com/office/drawing/2014/main" id="{D4858947-AAEC-49EB-A62A-FE5399FB8831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21675" name="Line 17">
          <a:extLst>
            <a:ext uri="{FF2B5EF4-FFF2-40B4-BE49-F238E27FC236}">
              <a16:creationId xmlns:a16="http://schemas.microsoft.com/office/drawing/2014/main" id="{B5B34E02-3330-4FA1-B031-B1549F9D26FE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21676" name="図形 10">
          <a:extLst>
            <a:ext uri="{FF2B5EF4-FFF2-40B4-BE49-F238E27FC236}">
              <a16:creationId xmlns:a16="http://schemas.microsoft.com/office/drawing/2014/main" id="{9E9BA9BF-D5A9-45BB-8396-A99EB34DC844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21677" name="図形 10">
          <a:extLst>
            <a:ext uri="{FF2B5EF4-FFF2-40B4-BE49-F238E27FC236}">
              <a16:creationId xmlns:a16="http://schemas.microsoft.com/office/drawing/2014/main" id="{AB369E46-DEDF-42EA-B1B9-0C6FC5E800A5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8967" name="図形 7">
          <a:extLst>
            <a:ext uri="{FF2B5EF4-FFF2-40B4-BE49-F238E27FC236}">
              <a16:creationId xmlns:a16="http://schemas.microsoft.com/office/drawing/2014/main" id="{80F250D2-E590-4CC3-9400-B1677C61ACE7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8968" name="Line 2">
          <a:extLst>
            <a:ext uri="{FF2B5EF4-FFF2-40B4-BE49-F238E27FC236}">
              <a16:creationId xmlns:a16="http://schemas.microsoft.com/office/drawing/2014/main" id="{EFE876C8-3BE9-4DBB-B2CC-98E2EED72A20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8969" name="Line 3">
          <a:extLst>
            <a:ext uri="{FF2B5EF4-FFF2-40B4-BE49-F238E27FC236}">
              <a16:creationId xmlns:a16="http://schemas.microsoft.com/office/drawing/2014/main" id="{909BB59A-EDFA-46F3-9647-1AA20B0733B7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8970" name="図形 10">
          <a:extLst>
            <a:ext uri="{FF2B5EF4-FFF2-40B4-BE49-F238E27FC236}">
              <a16:creationId xmlns:a16="http://schemas.microsoft.com/office/drawing/2014/main" id="{16ADCC76-5D48-4C60-B84E-725F08BF102E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8971" name="Line 5">
          <a:extLst>
            <a:ext uri="{FF2B5EF4-FFF2-40B4-BE49-F238E27FC236}">
              <a16:creationId xmlns:a16="http://schemas.microsoft.com/office/drawing/2014/main" id="{4E30A4F1-0063-4CE6-9D6A-74E86E12BE4B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8972" name="Line 6">
          <a:extLst>
            <a:ext uri="{FF2B5EF4-FFF2-40B4-BE49-F238E27FC236}">
              <a16:creationId xmlns:a16="http://schemas.microsoft.com/office/drawing/2014/main" id="{257E07A6-738C-4792-A537-89089754CB36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8973" name="Line 7">
          <a:extLst>
            <a:ext uri="{FF2B5EF4-FFF2-40B4-BE49-F238E27FC236}">
              <a16:creationId xmlns:a16="http://schemas.microsoft.com/office/drawing/2014/main" id="{866F7FE7-BEF9-49CF-BCEC-C18A66FBED93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8974" name="Line 8">
          <a:extLst>
            <a:ext uri="{FF2B5EF4-FFF2-40B4-BE49-F238E27FC236}">
              <a16:creationId xmlns:a16="http://schemas.microsoft.com/office/drawing/2014/main" id="{A0576123-2DDD-4C02-A4D6-91045DD36F09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8975" name="Line 9">
          <a:extLst>
            <a:ext uri="{FF2B5EF4-FFF2-40B4-BE49-F238E27FC236}">
              <a16:creationId xmlns:a16="http://schemas.microsoft.com/office/drawing/2014/main" id="{01CE9E8B-A6EE-4885-B384-5218528B83ED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8976" name="Line 10">
          <a:extLst>
            <a:ext uri="{FF2B5EF4-FFF2-40B4-BE49-F238E27FC236}">
              <a16:creationId xmlns:a16="http://schemas.microsoft.com/office/drawing/2014/main" id="{9BFC3EA0-2986-46A0-AA62-8C3AA34AC421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8977" name="図形 10">
          <a:extLst>
            <a:ext uri="{FF2B5EF4-FFF2-40B4-BE49-F238E27FC236}">
              <a16:creationId xmlns:a16="http://schemas.microsoft.com/office/drawing/2014/main" id="{8C3165D6-35D8-40F3-8D0C-2A5F63BDDB37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8978" name="図形 11">
          <a:extLst>
            <a:ext uri="{FF2B5EF4-FFF2-40B4-BE49-F238E27FC236}">
              <a16:creationId xmlns:a16="http://schemas.microsoft.com/office/drawing/2014/main" id="{A4EDB0AB-7C50-4061-9CA3-B0EECE6C2A3C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8979" name="Line 13">
          <a:extLst>
            <a:ext uri="{FF2B5EF4-FFF2-40B4-BE49-F238E27FC236}">
              <a16:creationId xmlns:a16="http://schemas.microsoft.com/office/drawing/2014/main" id="{C91BB0C2-F817-45D7-9510-4582EA30EAEB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8980" name="図形 10">
          <a:extLst>
            <a:ext uri="{FF2B5EF4-FFF2-40B4-BE49-F238E27FC236}">
              <a16:creationId xmlns:a16="http://schemas.microsoft.com/office/drawing/2014/main" id="{CEF300C4-0108-4498-AFAA-78433CABB65D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8981" name="図形 7">
          <a:extLst>
            <a:ext uri="{FF2B5EF4-FFF2-40B4-BE49-F238E27FC236}">
              <a16:creationId xmlns:a16="http://schemas.microsoft.com/office/drawing/2014/main" id="{2A07C566-C728-43F0-AFDF-5239A7914DEB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8982" name="Line 16">
          <a:extLst>
            <a:ext uri="{FF2B5EF4-FFF2-40B4-BE49-F238E27FC236}">
              <a16:creationId xmlns:a16="http://schemas.microsoft.com/office/drawing/2014/main" id="{330F5E2A-2A42-406B-A89A-F2E33B5900F7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8983" name="Line 17">
          <a:extLst>
            <a:ext uri="{FF2B5EF4-FFF2-40B4-BE49-F238E27FC236}">
              <a16:creationId xmlns:a16="http://schemas.microsoft.com/office/drawing/2014/main" id="{59277FB2-894C-4B57-81E7-BCD05346B910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8984" name="図形 10">
          <a:extLst>
            <a:ext uri="{FF2B5EF4-FFF2-40B4-BE49-F238E27FC236}">
              <a16:creationId xmlns:a16="http://schemas.microsoft.com/office/drawing/2014/main" id="{5C9D663B-4E21-4539-825E-EE514ACE92D4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8985" name="図形 10">
          <a:extLst>
            <a:ext uri="{FF2B5EF4-FFF2-40B4-BE49-F238E27FC236}">
              <a16:creationId xmlns:a16="http://schemas.microsoft.com/office/drawing/2014/main" id="{3E7B1BD9-4758-48AB-A094-7D01B3A44152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6976" name="図形 7">
          <a:extLst>
            <a:ext uri="{FF2B5EF4-FFF2-40B4-BE49-F238E27FC236}">
              <a16:creationId xmlns:a16="http://schemas.microsoft.com/office/drawing/2014/main" id="{EFE5AF0D-5A09-4E1C-B9D7-DC9C6D2456CF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6977" name="Line 2">
          <a:extLst>
            <a:ext uri="{FF2B5EF4-FFF2-40B4-BE49-F238E27FC236}">
              <a16:creationId xmlns:a16="http://schemas.microsoft.com/office/drawing/2014/main" id="{14C7D71D-3D57-49F4-9319-36ED2FFA5C99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6978" name="Line 3">
          <a:extLst>
            <a:ext uri="{FF2B5EF4-FFF2-40B4-BE49-F238E27FC236}">
              <a16:creationId xmlns:a16="http://schemas.microsoft.com/office/drawing/2014/main" id="{EDB25839-7BBC-4D92-8333-F75C584A85A9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6979" name="図形 10">
          <a:extLst>
            <a:ext uri="{FF2B5EF4-FFF2-40B4-BE49-F238E27FC236}">
              <a16:creationId xmlns:a16="http://schemas.microsoft.com/office/drawing/2014/main" id="{76DD27D8-FFAE-4739-A2B4-4B3080EFFA21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6980" name="Line 5">
          <a:extLst>
            <a:ext uri="{FF2B5EF4-FFF2-40B4-BE49-F238E27FC236}">
              <a16:creationId xmlns:a16="http://schemas.microsoft.com/office/drawing/2014/main" id="{BADDCA95-2986-4F0B-8505-EEC34AA20034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6981" name="Line 6">
          <a:extLst>
            <a:ext uri="{FF2B5EF4-FFF2-40B4-BE49-F238E27FC236}">
              <a16:creationId xmlns:a16="http://schemas.microsoft.com/office/drawing/2014/main" id="{62AD0650-D1C5-4380-87E7-505924210ED3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6982" name="Line 7">
          <a:extLst>
            <a:ext uri="{FF2B5EF4-FFF2-40B4-BE49-F238E27FC236}">
              <a16:creationId xmlns:a16="http://schemas.microsoft.com/office/drawing/2014/main" id="{CA2BCED4-E008-42DC-8A90-E5DD7B4D11E4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6983" name="Line 8">
          <a:extLst>
            <a:ext uri="{FF2B5EF4-FFF2-40B4-BE49-F238E27FC236}">
              <a16:creationId xmlns:a16="http://schemas.microsoft.com/office/drawing/2014/main" id="{C52EC40C-F8FA-4CE9-9704-530D671B0E9E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6984" name="Line 9">
          <a:extLst>
            <a:ext uri="{FF2B5EF4-FFF2-40B4-BE49-F238E27FC236}">
              <a16:creationId xmlns:a16="http://schemas.microsoft.com/office/drawing/2014/main" id="{EF4A7732-DA12-422C-9B76-572E46B67337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6985" name="Line 10">
          <a:extLst>
            <a:ext uri="{FF2B5EF4-FFF2-40B4-BE49-F238E27FC236}">
              <a16:creationId xmlns:a16="http://schemas.microsoft.com/office/drawing/2014/main" id="{16081295-1383-47A0-AFA0-B610B31551CF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6986" name="図形 10">
          <a:extLst>
            <a:ext uri="{FF2B5EF4-FFF2-40B4-BE49-F238E27FC236}">
              <a16:creationId xmlns:a16="http://schemas.microsoft.com/office/drawing/2014/main" id="{4427FE6E-3381-4013-8CDB-A40C8F592A6B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6987" name="図形 11">
          <a:extLst>
            <a:ext uri="{FF2B5EF4-FFF2-40B4-BE49-F238E27FC236}">
              <a16:creationId xmlns:a16="http://schemas.microsoft.com/office/drawing/2014/main" id="{2FF45AEC-1E84-4F5D-A73F-29966970BEF1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6988" name="Line 13">
          <a:extLst>
            <a:ext uri="{FF2B5EF4-FFF2-40B4-BE49-F238E27FC236}">
              <a16:creationId xmlns:a16="http://schemas.microsoft.com/office/drawing/2014/main" id="{EEC3E423-56F2-4DE4-8424-88C1955B47CA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6989" name="図形 10">
          <a:extLst>
            <a:ext uri="{FF2B5EF4-FFF2-40B4-BE49-F238E27FC236}">
              <a16:creationId xmlns:a16="http://schemas.microsoft.com/office/drawing/2014/main" id="{92505FD4-37E4-4762-86D5-861E3697BEB2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6990" name="図形 7">
          <a:extLst>
            <a:ext uri="{FF2B5EF4-FFF2-40B4-BE49-F238E27FC236}">
              <a16:creationId xmlns:a16="http://schemas.microsoft.com/office/drawing/2014/main" id="{88E8D33F-BB4F-4E4B-9C82-6FE4495473F9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6991" name="Line 16">
          <a:extLst>
            <a:ext uri="{FF2B5EF4-FFF2-40B4-BE49-F238E27FC236}">
              <a16:creationId xmlns:a16="http://schemas.microsoft.com/office/drawing/2014/main" id="{6EC3AA0A-59A4-4CAF-99AD-1B714AEAA375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6992" name="Line 17">
          <a:extLst>
            <a:ext uri="{FF2B5EF4-FFF2-40B4-BE49-F238E27FC236}">
              <a16:creationId xmlns:a16="http://schemas.microsoft.com/office/drawing/2014/main" id="{FA70389E-28B5-4DFB-80FF-BF265665DB93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6993" name="図形 10">
          <a:extLst>
            <a:ext uri="{FF2B5EF4-FFF2-40B4-BE49-F238E27FC236}">
              <a16:creationId xmlns:a16="http://schemas.microsoft.com/office/drawing/2014/main" id="{8111A362-E6A8-4959-9A3F-EA49F58CB4BB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6994" name="図形 10">
          <a:extLst>
            <a:ext uri="{FF2B5EF4-FFF2-40B4-BE49-F238E27FC236}">
              <a16:creationId xmlns:a16="http://schemas.microsoft.com/office/drawing/2014/main" id="{906B2A99-FC04-4132-A2C2-A0EF6B61060B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5971" name="図形 7">
          <a:extLst>
            <a:ext uri="{FF2B5EF4-FFF2-40B4-BE49-F238E27FC236}">
              <a16:creationId xmlns:a16="http://schemas.microsoft.com/office/drawing/2014/main" id="{7397E2C8-C1E3-4A49-A7D3-3410A4943827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5972" name="Line 2">
          <a:extLst>
            <a:ext uri="{FF2B5EF4-FFF2-40B4-BE49-F238E27FC236}">
              <a16:creationId xmlns:a16="http://schemas.microsoft.com/office/drawing/2014/main" id="{10395604-8478-4488-91E6-3378993492B4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5973" name="Line 3">
          <a:extLst>
            <a:ext uri="{FF2B5EF4-FFF2-40B4-BE49-F238E27FC236}">
              <a16:creationId xmlns:a16="http://schemas.microsoft.com/office/drawing/2014/main" id="{0D9CFEA8-C247-4BEF-ABED-5D09F6D0404A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5974" name="図形 10">
          <a:extLst>
            <a:ext uri="{FF2B5EF4-FFF2-40B4-BE49-F238E27FC236}">
              <a16:creationId xmlns:a16="http://schemas.microsoft.com/office/drawing/2014/main" id="{C6B6A8FC-693F-418E-B832-3D97DDD6402F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5975" name="Line 5">
          <a:extLst>
            <a:ext uri="{FF2B5EF4-FFF2-40B4-BE49-F238E27FC236}">
              <a16:creationId xmlns:a16="http://schemas.microsoft.com/office/drawing/2014/main" id="{73D244F2-CD50-4BA1-BEAC-A68E3E9ADD73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5976" name="Line 6">
          <a:extLst>
            <a:ext uri="{FF2B5EF4-FFF2-40B4-BE49-F238E27FC236}">
              <a16:creationId xmlns:a16="http://schemas.microsoft.com/office/drawing/2014/main" id="{99EE5A78-5612-4C74-BC55-796974327ACB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5977" name="Line 7">
          <a:extLst>
            <a:ext uri="{FF2B5EF4-FFF2-40B4-BE49-F238E27FC236}">
              <a16:creationId xmlns:a16="http://schemas.microsoft.com/office/drawing/2014/main" id="{7105BE9D-9952-4F2E-9BA3-D871CE23F629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5978" name="Line 8">
          <a:extLst>
            <a:ext uri="{FF2B5EF4-FFF2-40B4-BE49-F238E27FC236}">
              <a16:creationId xmlns:a16="http://schemas.microsoft.com/office/drawing/2014/main" id="{A41F1557-630D-4FFB-A8C7-0C28149088A0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5979" name="Line 9">
          <a:extLst>
            <a:ext uri="{FF2B5EF4-FFF2-40B4-BE49-F238E27FC236}">
              <a16:creationId xmlns:a16="http://schemas.microsoft.com/office/drawing/2014/main" id="{8BAA6849-8413-46BF-890F-89EC8F0FB8A4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5980" name="Line 10">
          <a:extLst>
            <a:ext uri="{FF2B5EF4-FFF2-40B4-BE49-F238E27FC236}">
              <a16:creationId xmlns:a16="http://schemas.microsoft.com/office/drawing/2014/main" id="{7D39EEE4-7830-4FD6-A14D-7183E0BE9B64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5981" name="図形 10">
          <a:extLst>
            <a:ext uri="{FF2B5EF4-FFF2-40B4-BE49-F238E27FC236}">
              <a16:creationId xmlns:a16="http://schemas.microsoft.com/office/drawing/2014/main" id="{EDDC3C79-575B-44C4-B3B0-4F5A0C047A18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5982" name="図形 11">
          <a:extLst>
            <a:ext uri="{FF2B5EF4-FFF2-40B4-BE49-F238E27FC236}">
              <a16:creationId xmlns:a16="http://schemas.microsoft.com/office/drawing/2014/main" id="{6EBD785C-1202-4ABB-8BD0-193FC2480756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5983" name="Line 13">
          <a:extLst>
            <a:ext uri="{FF2B5EF4-FFF2-40B4-BE49-F238E27FC236}">
              <a16:creationId xmlns:a16="http://schemas.microsoft.com/office/drawing/2014/main" id="{9A3C2C68-359C-4D21-9EB4-DC3F209144C6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5984" name="図形 10">
          <a:extLst>
            <a:ext uri="{FF2B5EF4-FFF2-40B4-BE49-F238E27FC236}">
              <a16:creationId xmlns:a16="http://schemas.microsoft.com/office/drawing/2014/main" id="{FABE5340-9DFA-4F36-817D-1718B427F545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5985" name="図形 7">
          <a:extLst>
            <a:ext uri="{FF2B5EF4-FFF2-40B4-BE49-F238E27FC236}">
              <a16:creationId xmlns:a16="http://schemas.microsoft.com/office/drawing/2014/main" id="{6CB62260-1B72-4031-B930-618EEDC85DBE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5986" name="Line 16">
          <a:extLst>
            <a:ext uri="{FF2B5EF4-FFF2-40B4-BE49-F238E27FC236}">
              <a16:creationId xmlns:a16="http://schemas.microsoft.com/office/drawing/2014/main" id="{0670B428-C3EE-4A9D-9443-559A591B735B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5987" name="Line 17">
          <a:extLst>
            <a:ext uri="{FF2B5EF4-FFF2-40B4-BE49-F238E27FC236}">
              <a16:creationId xmlns:a16="http://schemas.microsoft.com/office/drawing/2014/main" id="{F0A90681-F1F9-4057-A650-A66D2D37961E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5988" name="図形 10">
          <a:extLst>
            <a:ext uri="{FF2B5EF4-FFF2-40B4-BE49-F238E27FC236}">
              <a16:creationId xmlns:a16="http://schemas.microsoft.com/office/drawing/2014/main" id="{2741CAF6-04BF-4B51-87EB-5F1AF000DF65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5989" name="図形 10">
          <a:extLst>
            <a:ext uri="{FF2B5EF4-FFF2-40B4-BE49-F238E27FC236}">
              <a16:creationId xmlns:a16="http://schemas.microsoft.com/office/drawing/2014/main" id="{662C524A-741B-4655-8902-76023B023AB1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4966" name="図形 7">
          <a:extLst>
            <a:ext uri="{FF2B5EF4-FFF2-40B4-BE49-F238E27FC236}">
              <a16:creationId xmlns:a16="http://schemas.microsoft.com/office/drawing/2014/main" id="{CD06D5EE-ACAB-4674-97B6-8785B016D570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4967" name="Line 2">
          <a:extLst>
            <a:ext uri="{FF2B5EF4-FFF2-40B4-BE49-F238E27FC236}">
              <a16:creationId xmlns:a16="http://schemas.microsoft.com/office/drawing/2014/main" id="{D2A26783-FD76-4FA9-8313-7A9ED098D70A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4968" name="Line 3">
          <a:extLst>
            <a:ext uri="{FF2B5EF4-FFF2-40B4-BE49-F238E27FC236}">
              <a16:creationId xmlns:a16="http://schemas.microsoft.com/office/drawing/2014/main" id="{F44B1E82-40E0-43F3-A0AF-3FECFBC7FC5A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4969" name="図形 10">
          <a:extLst>
            <a:ext uri="{FF2B5EF4-FFF2-40B4-BE49-F238E27FC236}">
              <a16:creationId xmlns:a16="http://schemas.microsoft.com/office/drawing/2014/main" id="{DDCA36EF-1528-49F0-9A55-27AE269C04EC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4970" name="Line 5">
          <a:extLst>
            <a:ext uri="{FF2B5EF4-FFF2-40B4-BE49-F238E27FC236}">
              <a16:creationId xmlns:a16="http://schemas.microsoft.com/office/drawing/2014/main" id="{5F7E7CD6-BF79-4AE9-9F78-6785459E8D4C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4971" name="Line 6">
          <a:extLst>
            <a:ext uri="{FF2B5EF4-FFF2-40B4-BE49-F238E27FC236}">
              <a16:creationId xmlns:a16="http://schemas.microsoft.com/office/drawing/2014/main" id="{72366F14-74B6-4750-8660-973973D13BCF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4972" name="Line 7">
          <a:extLst>
            <a:ext uri="{FF2B5EF4-FFF2-40B4-BE49-F238E27FC236}">
              <a16:creationId xmlns:a16="http://schemas.microsoft.com/office/drawing/2014/main" id="{97968471-BC38-421A-A124-DCDEBD314AA9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4973" name="Line 8">
          <a:extLst>
            <a:ext uri="{FF2B5EF4-FFF2-40B4-BE49-F238E27FC236}">
              <a16:creationId xmlns:a16="http://schemas.microsoft.com/office/drawing/2014/main" id="{D506FA87-B1F3-42DA-B16E-E90D84AC38F2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4974" name="Line 9">
          <a:extLst>
            <a:ext uri="{FF2B5EF4-FFF2-40B4-BE49-F238E27FC236}">
              <a16:creationId xmlns:a16="http://schemas.microsoft.com/office/drawing/2014/main" id="{C79C0B48-4A14-4F73-BFC7-CD997B5548B6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4975" name="Line 10">
          <a:extLst>
            <a:ext uri="{FF2B5EF4-FFF2-40B4-BE49-F238E27FC236}">
              <a16:creationId xmlns:a16="http://schemas.microsoft.com/office/drawing/2014/main" id="{3D17145F-9B53-4ECC-9432-EC43D69D7643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4976" name="図形 10">
          <a:extLst>
            <a:ext uri="{FF2B5EF4-FFF2-40B4-BE49-F238E27FC236}">
              <a16:creationId xmlns:a16="http://schemas.microsoft.com/office/drawing/2014/main" id="{826A3F8A-51D3-44AE-84F7-FD600A4870B7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4977" name="図形 11">
          <a:extLst>
            <a:ext uri="{FF2B5EF4-FFF2-40B4-BE49-F238E27FC236}">
              <a16:creationId xmlns:a16="http://schemas.microsoft.com/office/drawing/2014/main" id="{37C863DB-BD41-465F-A41D-FD3522E61DC7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4978" name="Line 13">
          <a:extLst>
            <a:ext uri="{FF2B5EF4-FFF2-40B4-BE49-F238E27FC236}">
              <a16:creationId xmlns:a16="http://schemas.microsoft.com/office/drawing/2014/main" id="{9A372258-89B3-4651-ABBA-FFA20047AE72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4979" name="図形 10">
          <a:extLst>
            <a:ext uri="{FF2B5EF4-FFF2-40B4-BE49-F238E27FC236}">
              <a16:creationId xmlns:a16="http://schemas.microsoft.com/office/drawing/2014/main" id="{B1A7D879-3287-4EB4-8696-31B4264774FC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4980" name="図形 7">
          <a:extLst>
            <a:ext uri="{FF2B5EF4-FFF2-40B4-BE49-F238E27FC236}">
              <a16:creationId xmlns:a16="http://schemas.microsoft.com/office/drawing/2014/main" id="{E4055175-3535-4F5C-A82C-A577C90380F8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4981" name="Line 16">
          <a:extLst>
            <a:ext uri="{FF2B5EF4-FFF2-40B4-BE49-F238E27FC236}">
              <a16:creationId xmlns:a16="http://schemas.microsoft.com/office/drawing/2014/main" id="{A8006B62-1385-41F0-A3B0-8BF2DEBE04DB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4982" name="Line 17">
          <a:extLst>
            <a:ext uri="{FF2B5EF4-FFF2-40B4-BE49-F238E27FC236}">
              <a16:creationId xmlns:a16="http://schemas.microsoft.com/office/drawing/2014/main" id="{049BE502-B908-43FE-B7EE-24A81059D51E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4983" name="図形 10">
          <a:extLst>
            <a:ext uri="{FF2B5EF4-FFF2-40B4-BE49-F238E27FC236}">
              <a16:creationId xmlns:a16="http://schemas.microsoft.com/office/drawing/2014/main" id="{035FE588-0CD0-44C0-9D37-C03F6F095959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4984" name="図形 10">
          <a:extLst>
            <a:ext uri="{FF2B5EF4-FFF2-40B4-BE49-F238E27FC236}">
              <a16:creationId xmlns:a16="http://schemas.microsoft.com/office/drawing/2014/main" id="{63CB539E-6988-4401-852A-CCE84B306E57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60960</xdr:rowOff>
    </xdr:from>
    <xdr:to>
      <xdr:col>4</xdr:col>
      <xdr:colOff>198120</xdr:colOff>
      <xdr:row>7</xdr:row>
      <xdr:rowOff>167640</xdr:rowOff>
    </xdr:to>
    <xdr:sp macro="" textlink="">
      <xdr:nvSpPr>
        <xdr:cNvPr id="13964" name="図形 7">
          <a:extLst>
            <a:ext uri="{FF2B5EF4-FFF2-40B4-BE49-F238E27FC236}">
              <a16:creationId xmlns:a16="http://schemas.microsoft.com/office/drawing/2014/main" id="{941BAB0E-2DBE-44C6-A80F-3C16A7FB279F}"/>
            </a:ext>
          </a:extLst>
        </xdr:cNvPr>
        <xdr:cNvSpPr>
          <a:spLocks/>
        </xdr:cNvSpPr>
      </xdr:nvSpPr>
      <xdr:spPr bwMode="auto">
        <a:xfrm>
          <a:off x="1173480" y="9448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7</xdr:row>
      <xdr:rowOff>167640</xdr:rowOff>
    </xdr:from>
    <xdr:to>
      <xdr:col>4</xdr:col>
      <xdr:colOff>198120</xdr:colOff>
      <xdr:row>7</xdr:row>
      <xdr:rowOff>167640</xdr:rowOff>
    </xdr:to>
    <xdr:sp macro="" textlink="">
      <xdr:nvSpPr>
        <xdr:cNvPr id="13965" name="Line 2">
          <a:extLst>
            <a:ext uri="{FF2B5EF4-FFF2-40B4-BE49-F238E27FC236}">
              <a16:creationId xmlns:a16="http://schemas.microsoft.com/office/drawing/2014/main" id="{B4DC9BDA-446D-4F90-AA7B-274307E50299}"/>
            </a:ext>
          </a:extLst>
        </xdr:cNvPr>
        <xdr:cNvSpPr>
          <a:spLocks noChangeShapeType="1"/>
        </xdr:cNvSpPr>
      </xdr:nvSpPr>
      <xdr:spPr bwMode="auto">
        <a:xfrm>
          <a:off x="1173480" y="16687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4</xdr:row>
      <xdr:rowOff>60960</xdr:rowOff>
    </xdr:from>
    <xdr:to>
      <xdr:col>4</xdr:col>
      <xdr:colOff>106680</xdr:colOff>
      <xdr:row>4</xdr:row>
      <xdr:rowOff>60960</xdr:rowOff>
    </xdr:to>
    <xdr:sp macro="" textlink="">
      <xdr:nvSpPr>
        <xdr:cNvPr id="13966" name="Line 3">
          <a:extLst>
            <a:ext uri="{FF2B5EF4-FFF2-40B4-BE49-F238E27FC236}">
              <a16:creationId xmlns:a16="http://schemas.microsoft.com/office/drawing/2014/main" id="{2601E9A3-5381-4DEA-9636-B11CCB5348CC}"/>
            </a:ext>
          </a:extLst>
        </xdr:cNvPr>
        <xdr:cNvSpPr>
          <a:spLocks noChangeShapeType="1"/>
        </xdr:cNvSpPr>
      </xdr:nvSpPr>
      <xdr:spPr bwMode="auto">
        <a:xfrm flipH="1">
          <a:off x="1104900" y="9448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4</xdr:row>
      <xdr:rowOff>60960</xdr:rowOff>
    </xdr:from>
    <xdr:to>
      <xdr:col>1</xdr:col>
      <xdr:colOff>198120</xdr:colOff>
      <xdr:row>9</xdr:row>
      <xdr:rowOff>190500</xdr:rowOff>
    </xdr:to>
    <xdr:sp macro="" textlink="">
      <xdr:nvSpPr>
        <xdr:cNvPr id="13967" name="図形 10">
          <a:extLst>
            <a:ext uri="{FF2B5EF4-FFF2-40B4-BE49-F238E27FC236}">
              <a16:creationId xmlns:a16="http://schemas.microsoft.com/office/drawing/2014/main" id="{02DE85D2-6E15-4798-A658-2389A9103E0A}"/>
            </a:ext>
          </a:extLst>
        </xdr:cNvPr>
        <xdr:cNvSpPr>
          <a:spLocks/>
        </xdr:cNvSpPr>
      </xdr:nvSpPr>
      <xdr:spPr bwMode="auto">
        <a:xfrm>
          <a:off x="243840" y="9448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8</xdr:col>
      <xdr:colOff>53340</xdr:colOff>
      <xdr:row>16</xdr:row>
      <xdr:rowOff>0</xdr:rowOff>
    </xdr:from>
    <xdr:to>
      <xdr:col>8</xdr:col>
      <xdr:colOff>1181100</xdr:colOff>
      <xdr:row>16</xdr:row>
      <xdr:rowOff>0</xdr:rowOff>
    </xdr:to>
    <xdr:sp macro="" textlink="">
      <xdr:nvSpPr>
        <xdr:cNvPr id="13968" name="Line 6">
          <a:extLst>
            <a:ext uri="{FF2B5EF4-FFF2-40B4-BE49-F238E27FC236}">
              <a16:creationId xmlns:a16="http://schemas.microsoft.com/office/drawing/2014/main" id="{AD410C32-8E76-4AC7-887C-02A5B4214084}"/>
            </a:ext>
          </a:extLst>
        </xdr:cNvPr>
        <xdr:cNvSpPr>
          <a:spLocks noChangeShapeType="1"/>
        </xdr:cNvSpPr>
      </xdr:nvSpPr>
      <xdr:spPr bwMode="auto">
        <a:xfrm>
          <a:off x="5135880" y="3352800"/>
          <a:ext cx="1127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76200</xdr:colOff>
      <xdr:row>16</xdr:row>
      <xdr:rowOff>0</xdr:rowOff>
    </xdr:from>
    <xdr:to>
      <xdr:col>9</xdr:col>
      <xdr:colOff>1165860</xdr:colOff>
      <xdr:row>16</xdr:row>
      <xdr:rowOff>0</xdr:rowOff>
    </xdr:to>
    <xdr:sp macro="" textlink="">
      <xdr:nvSpPr>
        <xdr:cNvPr id="13969" name="Line 7">
          <a:extLst>
            <a:ext uri="{FF2B5EF4-FFF2-40B4-BE49-F238E27FC236}">
              <a16:creationId xmlns:a16="http://schemas.microsoft.com/office/drawing/2014/main" id="{C2AEDA1E-C86D-4B97-9236-7D2FCD819158}"/>
            </a:ext>
          </a:extLst>
        </xdr:cNvPr>
        <xdr:cNvSpPr>
          <a:spLocks noChangeShapeType="1"/>
        </xdr:cNvSpPr>
      </xdr:nvSpPr>
      <xdr:spPr bwMode="auto">
        <a:xfrm>
          <a:off x="6477000" y="3352800"/>
          <a:ext cx="1089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967740</xdr:colOff>
      <xdr:row>16</xdr:row>
      <xdr:rowOff>0</xdr:rowOff>
    </xdr:to>
    <xdr:sp macro="" textlink="">
      <xdr:nvSpPr>
        <xdr:cNvPr id="13970" name="Line 8">
          <a:extLst>
            <a:ext uri="{FF2B5EF4-FFF2-40B4-BE49-F238E27FC236}">
              <a16:creationId xmlns:a16="http://schemas.microsoft.com/office/drawing/2014/main" id="{78A90548-08C4-4361-9161-A9559D4FB9C3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06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60960</xdr:colOff>
      <xdr:row>16</xdr:row>
      <xdr:rowOff>0</xdr:rowOff>
    </xdr:from>
    <xdr:to>
      <xdr:col>7</xdr:col>
      <xdr:colOff>1173480</xdr:colOff>
      <xdr:row>16</xdr:row>
      <xdr:rowOff>0</xdr:rowOff>
    </xdr:to>
    <xdr:sp macro="" textlink="">
      <xdr:nvSpPr>
        <xdr:cNvPr id="13971" name="Line 9">
          <a:extLst>
            <a:ext uri="{FF2B5EF4-FFF2-40B4-BE49-F238E27FC236}">
              <a16:creationId xmlns:a16="http://schemas.microsoft.com/office/drawing/2014/main" id="{9C634A89-3145-4394-B6C2-3FE69D361E96}"/>
            </a:ext>
          </a:extLst>
        </xdr:cNvPr>
        <xdr:cNvSpPr>
          <a:spLocks noChangeShapeType="1"/>
        </xdr:cNvSpPr>
      </xdr:nvSpPr>
      <xdr:spPr bwMode="auto">
        <a:xfrm>
          <a:off x="390906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9</xdr:col>
      <xdr:colOff>53340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3972" name="Line 10">
          <a:extLst>
            <a:ext uri="{FF2B5EF4-FFF2-40B4-BE49-F238E27FC236}">
              <a16:creationId xmlns:a16="http://schemas.microsoft.com/office/drawing/2014/main" id="{035D6C69-E67F-4DDE-B257-E98DE11A13F2}"/>
            </a:ext>
          </a:extLst>
        </xdr:cNvPr>
        <xdr:cNvSpPr>
          <a:spLocks noChangeShapeType="1"/>
        </xdr:cNvSpPr>
      </xdr:nvSpPr>
      <xdr:spPr bwMode="auto">
        <a:xfrm>
          <a:off x="6454140" y="3352800"/>
          <a:ext cx="11125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10</xdr:col>
      <xdr:colOff>60960</xdr:colOff>
      <xdr:row>16</xdr:row>
      <xdr:rowOff>0</xdr:rowOff>
    </xdr:from>
    <xdr:to>
      <xdr:col>10</xdr:col>
      <xdr:colOff>1013460</xdr:colOff>
      <xdr:row>16</xdr:row>
      <xdr:rowOff>0</xdr:rowOff>
    </xdr:to>
    <xdr:sp macro="" textlink="">
      <xdr:nvSpPr>
        <xdr:cNvPr id="13973" name="Line 11">
          <a:extLst>
            <a:ext uri="{FF2B5EF4-FFF2-40B4-BE49-F238E27FC236}">
              <a16:creationId xmlns:a16="http://schemas.microsoft.com/office/drawing/2014/main" id="{85C6B03E-D5B0-425E-9EC4-6282505DCDD0}"/>
            </a:ext>
          </a:extLst>
        </xdr:cNvPr>
        <xdr:cNvSpPr>
          <a:spLocks noChangeShapeType="1"/>
        </xdr:cNvSpPr>
      </xdr:nvSpPr>
      <xdr:spPr bwMode="auto">
        <a:xfrm>
          <a:off x="7627620" y="3352800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3974" name="図形 10">
          <a:extLst>
            <a:ext uri="{FF2B5EF4-FFF2-40B4-BE49-F238E27FC236}">
              <a16:creationId xmlns:a16="http://schemas.microsoft.com/office/drawing/2014/main" id="{D981D103-4931-41F9-998E-D7FD3DF7B9BF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213360</xdr:colOff>
      <xdr:row>16</xdr:row>
      <xdr:rowOff>0</xdr:rowOff>
    </xdr:from>
    <xdr:to>
      <xdr:col>1</xdr:col>
      <xdr:colOff>213360</xdr:colOff>
      <xdr:row>16</xdr:row>
      <xdr:rowOff>0</xdr:rowOff>
    </xdr:to>
    <xdr:sp macro="" textlink="">
      <xdr:nvSpPr>
        <xdr:cNvPr id="13975" name="図形 11">
          <a:extLst>
            <a:ext uri="{FF2B5EF4-FFF2-40B4-BE49-F238E27FC236}">
              <a16:creationId xmlns:a16="http://schemas.microsoft.com/office/drawing/2014/main" id="{4E5537C0-8B24-47B0-B802-DBADCBFEC2C4}"/>
            </a:ext>
          </a:extLst>
        </xdr:cNvPr>
        <xdr:cNvSpPr>
          <a:spLocks/>
        </xdr:cNvSpPr>
      </xdr:nvSpPr>
      <xdr:spPr bwMode="auto">
        <a:xfrm>
          <a:off x="335280" y="335280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1916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6</xdr:col>
      <xdr:colOff>68580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3976" name="Line 17">
          <a:extLst>
            <a:ext uri="{FF2B5EF4-FFF2-40B4-BE49-F238E27FC236}">
              <a16:creationId xmlns:a16="http://schemas.microsoft.com/office/drawing/2014/main" id="{6D259647-0F29-478E-A80B-6CEDF9924B97}"/>
            </a:ext>
          </a:extLst>
        </xdr:cNvPr>
        <xdr:cNvSpPr>
          <a:spLocks noChangeShapeType="1"/>
        </xdr:cNvSpPr>
      </xdr:nvSpPr>
      <xdr:spPr bwMode="auto">
        <a:xfrm>
          <a:off x="3063240" y="3352800"/>
          <a:ext cx="7848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11</xdr:row>
      <xdr:rowOff>60960</xdr:rowOff>
    </xdr:from>
    <xdr:to>
      <xdr:col>1</xdr:col>
      <xdr:colOff>198120</xdr:colOff>
      <xdr:row>13</xdr:row>
      <xdr:rowOff>167640</xdr:rowOff>
    </xdr:to>
    <xdr:sp macro="" textlink="">
      <xdr:nvSpPr>
        <xdr:cNvPr id="13977" name="図形 10">
          <a:extLst>
            <a:ext uri="{FF2B5EF4-FFF2-40B4-BE49-F238E27FC236}">
              <a16:creationId xmlns:a16="http://schemas.microsoft.com/office/drawing/2014/main" id="{2E2D2F31-8362-444E-AAD0-E33BC05C3955}"/>
            </a:ext>
          </a:extLst>
        </xdr:cNvPr>
        <xdr:cNvSpPr>
          <a:spLocks/>
        </xdr:cNvSpPr>
      </xdr:nvSpPr>
      <xdr:spPr bwMode="auto">
        <a:xfrm>
          <a:off x="243840" y="23850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21</xdr:row>
      <xdr:rowOff>60960</xdr:rowOff>
    </xdr:from>
    <xdr:to>
      <xdr:col>4</xdr:col>
      <xdr:colOff>198120</xdr:colOff>
      <xdr:row>24</xdr:row>
      <xdr:rowOff>167640</xdr:rowOff>
    </xdr:to>
    <xdr:sp macro="" textlink="">
      <xdr:nvSpPr>
        <xdr:cNvPr id="13978" name="図形 7">
          <a:extLst>
            <a:ext uri="{FF2B5EF4-FFF2-40B4-BE49-F238E27FC236}">
              <a16:creationId xmlns:a16="http://schemas.microsoft.com/office/drawing/2014/main" id="{220FD6F3-951D-4229-A883-D8D9A31DB998}"/>
            </a:ext>
          </a:extLst>
        </xdr:cNvPr>
        <xdr:cNvSpPr>
          <a:spLocks/>
        </xdr:cNvSpPr>
      </xdr:nvSpPr>
      <xdr:spPr bwMode="auto">
        <a:xfrm>
          <a:off x="1173480" y="4069080"/>
          <a:ext cx="76200" cy="72390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4</xdr:col>
      <xdr:colOff>121920</xdr:colOff>
      <xdr:row>24</xdr:row>
      <xdr:rowOff>167640</xdr:rowOff>
    </xdr:from>
    <xdr:to>
      <xdr:col>4</xdr:col>
      <xdr:colOff>198120</xdr:colOff>
      <xdr:row>24</xdr:row>
      <xdr:rowOff>167640</xdr:rowOff>
    </xdr:to>
    <xdr:sp macro="" textlink="">
      <xdr:nvSpPr>
        <xdr:cNvPr id="13979" name="Line 38">
          <a:extLst>
            <a:ext uri="{FF2B5EF4-FFF2-40B4-BE49-F238E27FC236}">
              <a16:creationId xmlns:a16="http://schemas.microsoft.com/office/drawing/2014/main" id="{C26D18A6-7E0A-4E5A-BFDA-29FAC8573091}"/>
            </a:ext>
          </a:extLst>
        </xdr:cNvPr>
        <xdr:cNvSpPr>
          <a:spLocks noChangeShapeType="1"/>
        </xdr:cNvSpPr>
      </xdr:nvSpPr>
      <xdr:spPr bwMode="auto">
        <a:xfrm>
          <a:off x="1173480" y="479298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4</xdr:col>
      <xdr:colOff>53340</xdr:colOff>
      <xdr:row>21</xdr:row>
      <xdr:rowOff>60960</xdr:rowOff>
    </xdr:from>
    <xdr:to>
      <xdr:col>4</xdr:col>
      <xdr:colOff>106680</xdr:colOff>
      <xdr:row>21</xdr:row>
      <xdr:rowOff>60960</xdr:rowOff>
    </xdr:to>
    <xdr:sp macro="" textlink="">
      <xdr:nvSpPr>
        <xdr:cNvPr id="13980" name="Line 39">
          <a:extLst>
            <a:ext uri="{FF2B5EF4-FFF2-40B4-BE49-F238E27FC236}">
              <a16:creationId xmlns:a16="http://schemas.microsoft.com/office/drawing/2014/main" id="{1428086C-EC91-4DC2-948C-7A5BA4CDDEAB}"/>
            </a:ext>
          </a:extLst>
        </xdr:cNvPr>
        <xdr:cNvSpPr>
          <a:spLocks noChangeShapeType="1"/>
        </xdr:cNvSpPr>
      </xdr:nvSpPr>
      <xdr:spPr bwMode="auto">
        <a:xfrm flipH="1">
          <a:off x="1104900" y="406908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21</xdr:row>
      <xdr:rowOff>60960</xdr:rowOff>
    </xdr:from>
    <xdr:to>
      <xdr:col>1</xdr:col>
      <xdr:colOff>198120</xdr:colOff>
      <xdr:row>26</xdr:row>
      <xdr:rowOff>190500</xdr:rowOff>
    </xdr:to>
    <xdr:sp macro="" textlink="">
      <xdr:nvSpPr>
        <xdr:cNvPr id="13981" name="図形 10">
          <a:extLst>
            <a:ext uri="{FF2B5EF4-FFF2-40B4-BE49-F238E27FC236}">
              <a16:creationId xmlns:a16="http://schemas.microsoft.com/office/drawing/2014/main" id="{57A37048-217D-42D4-97BC-9B00008C0EDC}"/>
            </a:ext>
          </a:extLst>
        </xdr:cNvPr>
        <xdr:cNvSpPr>
          <a:spLocks/>
        </xdr:cNvSpPr>
      </xdr:nvSpPr>
      <xdr:spPr bwMode="auto">
        <a:xfrm>
          <a:off x="243840" y="4069080"/>
          <a:ext cx="76200" cy="115824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  <xdr:twoCellAnchor>
    <xdr:from>
      <xdr:col>1</xdr:col>
      <xdr:colOff>121920</xdr:colOff>
      <xdr:row>28</xdr:row>
      <xdr:rowOff>60960</xdr:rowOff>
    </xdr:from>
    <xdr:to>
      <xdr:col>1</xdr:col>
      <xdr:colOff>198120</xdr:colOff>
      <xdr:row>30</xdr:row>
      <xdr:rowOff>167640</xdr:rowOff>
    </xdr:to>
    <xdr:sp macro="" textlink="">
      <xdr:nvSpPr>
        <xdr:cNvPr id="13982" name="図形 10">
          <a:extLst>
            <a:ext uri="{FF2B5EF4-FFF2-40B4-BE49-F238E27FC236}">
              <a16:creationId xmlns:a16="http://schemas.microsoft.com/office/drawing/2014/main" id="{B981A4D0-DA7D-4570-913D-71AFADD074FB}"/>
            </a:ext>
          </a:extLst>
        </xdr:cNvPr>
        <xdr:cNvSpPr>
          <a:spLocks/>
        </xdr:cNvSpPr>
      </xdr:nvSpPr>
      <xdr:spPr bwMode="auto">
        <a:xfrm>
          <a:off x="243840" y="5509260"/>
          <a:ext cx="76200" cy="518160"/>
        </a:xfrm>
        <a:custGeom>
          <a:avLst/>
          <a:gdLst>
            <a:gd name="T0" fmla="*/ 2147483646 w 16384"/>
            <a:gd name="T1" fmla="*/ 0 h 16384"/>
            <a:gd name="T2" fmla="*/ 0 w 16384"/>
            <a:gd name="T3" fmla="*/ 0 h 16384"/>
            <a:gd name="T4" fmla="*/ 0 w 16384"/>
            <a:gd name="T5" fmla="*/ 2147483646 h 16384"/>
            <a:gd name="T6" fmla="*/ 2147483646 w 16384"/>
            <a:gd name="T7" fmla="*/ 2147483646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16384" y="0"/>
              </a:moveTo>
              <a:lnTo>
                <a:pt x="0" y="0"/>
              </a:lnTo>
              <a:lnTo>
                <a:pt x="0" y="16384"/>
              </a:ln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  <pageSetUpPr fitToPage="1"/>
  </sheetPr>
  <dimension ref="B1:P36"/>
  <sheetViews>
    <sheetView showGridLines="0" tabSelected="1" defaultGridColor="0" colorId="22" zoomScale="90" zoomScaleNormal="9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5.59765625" style="1" customWidth="1"/>
    <col min="4" max="4" width="6.59765625" style="1" customWidth="1"/>
    <col min="5" max="5" width="16.796875" style="1" customWidth="1"/>
    <col min="6" max="6" width="13.69921875" style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6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6" s="3" customFormat="1" ht="13.2">
      <c r="B2" s="9" t="s">
        <v>67</v>
      </c>
      <c r="C2" s="2"/>
      <c r="D2" s="2"/>
      <c r="F2" s="62"/>
      <c r="G2" s="62"/>
      <c r="H2" s="62"/>
      <c r="I2" s="62"/>
      <c r="J2" s="62"/>
      <c r="K2" s="63" t="s">
        <v>62</v>
      </c>
    </row>
    <row r="3" spans="2:16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6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6" s="13" customFormat="1" ht="16.5" customHeight="1">
      <c r="B5" s="87"/>
      <c r="C5" s="85" t="s">
        <v>63</v>
      </c>
      <c r="D5" s="87"/>
      <c r="E5" s="88" t="s">
        <v>13</v>
      </c>
      <c r="F5" s="67">
        <v>11903</v>
      </c>
      <c r="G5" s="68">
        <v>176136</v>
      </c>
      <c r="H5" s="68">
        <f>7842507014+312919337</f>
        <v>8155426351</v>
      </c>
      <c r="I5" s="69" t="s">
        <v>23</v>
      </c>
      <c r="J5" s="69" t="s">
        <v>23</v>
      </c>
      <c r="K5" s="69" t="s">
        <v>23</v>
      </c>
    </row>
    <row r="6" spans="2:16" s="13" customFormat="1" ht="16.5" customHeight="1">
      <c r="B6" s="87"/>
      <c r="C6" s="90"/>
      <c r="D6" s="87"/>
      <c r="E6" s="88" t="s">
        <v>14</v>
      </c>
      <c r="F6" s="67">
        <f>588383+4103</f>
        <v>592486</v>
      </c>
      <c r="G6" s="68">
        <f>897785+41736</f>
        <v>939521</v>
      </c>
      <c r="H6" s="68">
        <f>9516952118+556569610</f>
        <v>10073521728</v>
      </c>
      <c r="I6" s="69" t="s">
        <v>23</v>
      </c>
      <c r="J6" s="69" t="s">
        <v>23</v>
      </c>
      <c r="K6" s="69" t="s">
        <v>23</v>
      </c>
    </row>
    <row r="7" spans="2:16" s="13" customFormat="1" ht="16.5" customHeight="1">
      <c r="B7" s="87"/>
      <c r="C7" s="90"/>
      <c r="D7" s="87"/>
      <c r="E7" s="88" t="s">
        <v>15</v>
      </c>
      <c r="F7" s="67">
        <v>155486</v>
      </c>
      <c r="G7" s="68">
        <v>232549</v>
      </c>
      <c r="H7" s="68">
        <v>2011849404</v>
      </c>
      <c r="I7" s="69" t="s">
        <v>23</v>
      </c>
      <c r="J7" s="69" t="s">
        <v>23</v>
      </c>
      <c r="K7" s="69" t="s">
        <v>23</v>
      </c>
    </row>
    <row r="8" spans="2:16" s="13" customFormat="1" ht="16.5" customHeight="1">
      <c r="B8" s="87"/>
      <c r="C8" s="90"/>
      <c r="D8" s="87"/>
      <c r="E8" s="88" t="s">
        <v>64</v>
      </c>
      <c r="F8" s="67">
        <v>351104</v>
      </c>
      <c r="G8" s="70" t="s">
        <v>49</v>
      </c>
      <c r="H8" s="68">
        <v>3983302249</v>
      </c>
      <c r="I8" s="69" t="s">
        <v>23</v>
      </c>
      <c r="J8" s="69" t="s">
        <v>23</v>
      </c>
      <c r="K8" s="69" t="s">
        <v>23</v>
      </c>
      <c r="M8" s="95"/>
      <c r="N8" s="95"/>
      <c r="O8" s="95"/>
      <c r="P8" s="95"/>
    </row>
    <row r="9" spans="2:16" s="13" customFormat="1" ht="16.5" customHeight="1">
      <c r="B9" s="87"/>
      <c r="C9" s="90"/>
      <c r="D9" s="87"/>
      <c r="E9" s="91" t="s">
        <v>22</v>
      </c>
      <c r="F9" s="67">
        <f>SUM(F5:F8)</f>
        <v>1110979</v>
      </c>
      <c r="G9" s="68">
        <f>SUM(G5:G8)</f>
        <v>1348206</v>
      </c>
      <c r="H9" s="68">
        <f>SUM(H5:H8)</f>
        <v>24224099732</v>
      </c>
      <c r="I9" s="96">
        <f>17691896922+897110</f>
        <v>17692794032</v>
      </c>
      <c r="J9" s="96">
        <f>5561715033-897110</f>
        <v>5560817923</v>
      </c>
      <c r="K9" s="96">
        <v>970487777</v>
      </c>
      <c r="M9" s="95"/>
      <c r="N9" s="95"/>
      <c r="O9" s="95"/>
      <c r="P9" s="95"/>
    </row>
    <row r="10" spans="2:16" s="13" customFormat="1" ht="16.5" customHeight="1">
      <c r="B10" s="88"/>
      <c r="C10" s="88" t="s">
        <v>65</v>
      </c>
      <c r="D10" s="88"/>
      <c r="E10" s="87"/>
      <c r="F10" s="67">
        <f>20316+69+1</f>
        <v>20386</v>
      </c>
      <c r="G10" s="69" t="s">
        <v>49</v>
      </c>
      <c r="H10" s="68">
        <f>191337864+30300</f>
        <v>191368164</v>
      </c>
      <c r="I10" s="96">
        <f>139195687+30300</f>
        <v>139225987</v>
      </c>
      <c r="J10" s="96">
        <v>39143105</v>
      </c>
      <c r="K10" s="96">
        <v>12999072</v>
      </c>
      <c r="M10" s="95"/>
      <c r="N10" s="95"/>
      <c r="O10" s="95"/>
      <c r="P10" s="95"/>
    </row>
    <row r="11" spans="2:16" s="13" customFormat="1" ht="16.5" customHeight="1">
      <c r="B11" s="101" t="s">
        <v>19</v>
      </c>
      <c r="C11" s="101"/>
      <c r="D11" s="101"/>
      <c r="E11" s="102"/>
      <c r="F11" s="67">
        <f>SUM(F9+F10)</f>
        <v>1131365</v>
      </c>
      <c r="G11" s="97">
        <f>SUM(G9+G10)</f>
        <v>1348206</v>
      </c>
      <c r="H11" s="97">
        <f>SUM(H9+H10)</f>
        <v>24415467896</v>
      </c>
      <c r="I11" s="68">
        <f>I9+I10</f>
        <v>17832020019</v>
      </c>
      <c r="J11" s="68">
        <f>J9+J10</f>
        <v>5599961028</v>
      </c>
      <c r="K11" s="68">
        <f>K9+K10</f>
        <v>983486849</v>
      </c>
      <c r="M11" s="95"/>
      <c r="N11" s="95"/>
      <c r="O11" s="95"/>
      <c r="P11" s="95"/>
    </row>
    <row r="12" spans="2:16" s="13" customFormat="1" ht="16.5" customHeight="1">
      <c r="B12" s="89"/>
      <c r="C12" s="88" t="s">
        <v>10</v>
      </c>
      <c r="D12" s="88"/>
      <c r="E12" s="89"/>
      <c r="F12" s="67">
        <v>169</v>
      </c>
      <c r="G12" s="69">
        <v>0</v>
      </c>
      <c r="H12" s="69">
        <v>0</v>
      </c>
      <c r="I12" s="68">
        <v>84484000</v>
      </c>
      <c r="J12" s="69" t="s">
        <v>23</v>
      </c>
      <c r="K12" s="69" t="s">
        <v>23</v>
      </c>
      <c r="M12" s="95"/>
      <c r="N12" s="95"/>
      <c r="O12" s="95"/>
      <c r="P12" s="95"/>
    </row>
    <row r="13" spans="2:16" s="13" customFormat="1" ht="16.5" customHeight="1">
      <c r="B13" s="89"/>
      <c r="C13" s="88" t="s">
        <v>11</v>
      </c>
      <c r="D13" s="88"/>
      <c r="E13" s="89"/>
      <c r="F13" s="67">
        <v>360</v>
      </c>
      <c r="G13" s="69">
        <v>0</v>
      </c>
      <c r="H13" s="69">
        <v>0</v>
      </c>
      <c r="I13" s="68">
        <v>18000000</v>
      </c>
      <c r="J13" s="69" t="s">
        <v>23</v>
      </c>
      <c r="K13" s="69" t="s">
        <v>23</v>
      </c>
      <c r="M13" s="95"/>
      <c r="N13" s="95"/>
      <c r="O13" s="95"/>
      <c r="P13" s="95"/>
    </row>
    <row r="14" spans="2:16" s="13" customFormat="1" ht="16.5" customHeight="1">
      <c r="B14" s="89"/>
      <c r="C14" s="88" t="s">
        <v>66</v>
      </c>
      <c r="D14" s="88"/>
      <c r="E14" s="89"/>
      <c r="F14" s="67">
        <f>41353+85</f>
        <v>41438</v>
      </c>
      <c r="G14" s="69">
        <v>0</v>
      </c>
      <c r="H14" s="69">
        <v>0</v>
      </c>
      <c r="I14" s="68">
        <f>2568807352+2961321</f>
        <v>2571768673</v>
      </c>
      <c r="J14" s="69" t="s">
        <v>23</v>
      </c>
      <c r="K14" s="69" t="s">
        <v>23</v>
      </c>
      <c r="M14" s="95"/>
      <c r="N14" s="95"/>
      <c r="O14" s="95"/>
      <c r="P14" s="95"/>
    </row>
    <row r="15" spans="2:16" s="13" customFormat="1" ht="16.5" customHeight="1">
      <c r="B15" s="103" t="s">
        <v>21</v>
      </c>
      <c r="C15" s="103"/>
      <c r="D15" s="103"/>
      <c r="E15" s="102"/>
      <c r="F15" s="67">
        <f>SUM(F12:F14)</f>
        <v>41967</v>
      </c>
      <c r="G15" s="69" t="s">
        <v>23</v>
      </c>
      <c r="H15" s="69" t="s">
        <v>23</v>
      </c>
      <c r="I15" s="68">
        <f>SUM(I12:I14)</f>
        <v>2674252673</v>
      </c>
      <c r="J15" s="69" t="s">
        <v>23</v>
      </c>
      <c r="K15" s="69" t="s">
        <v>23</v>
      </c>
    </row>
    <row r="16" spans="2:16" s="13" customFormat="1" ht="16.5" customHeight="1" thickBot="1">
      <c r="B16" s="104" t="s">
        <v>1</v>
      </c>
      <c r="C16" s="104"/>
      <c r="D16" s="104"/>
      <c r="E16" s="105"/>
      <c r="F16" s="78">
        <f>F11+F15</f>
        <v>1173332</v>
      </c>
      <c r="G16" s="79">
        <f>G11</f>
        <v>1348206</v>
      </c>
      <c r="H16" s="79">
        <f>H11</f>
        <v>24415467896</v>
      </c>
      <c r="I16" s="79">
        <f>I11+I15</f>
        <v>20506272692</v>
      </c>
      <c r="J16" s="79">
        <f>J11</f>
        <v>5599961028</v>
      </c>
      <c r="K16" s="79">
        <f>K11</f>
        <v>983486849</v>
      </c>
    </row>
    <row r="17" spans="2:11" s="3" customFormat="1" ht="4.5" customHeight="1">
      <c r="F17" s="39"/>
      <c r="G17" s="39"/>
      <c r="H17" s="39"/>
      <c r="I17" s="39"/>
      <c r="J17" s="39"/>
      <c r="K17" s="39"/>
    </row>
    <row r="18" spans="2:11" s="3" customFormat="1" ht="4.5" customHeight="1">
      <c r="F18" s="39"/>
      <c r="G18" s="39"/>
      <c r="H18" s="39"/>
      <c r="I18" s="39"/>
      <c r="J18" s="39"/>
      <c r="K18" s="39"/>
    </row>
    <row r="19" spans="2:11" s="3" customFormat="1" ht="4.5" customHeight="1"/>
    <row r="20" spans="2:11" s="3" customFormat="1" ht="13.2">
      <c r="B20" s="15" t="s">
        <v>26</v>
      </c>
      <c r="C20" s="14"/>
      <c r="D20" s="14"/>
      <c r="E20" s="14"/>
      <c r="G20" s="8"/>
    </row>
    <row r="21" spans="2:11" s="3" customFormat="1" ht="13.2">
      <c r="B21" s="3" t="s">
        <v>68</v>
      </c>
    </row>
    <row r="22" spans="2:11" s="3" customFormat="1" ht="13.2"/>
    <row r="23" spans="2:11" s="3" customFormat="1" ht="13.2"/>
    <row r="24" spans="2:11" s="3" customFormat="1" ht="13.2"/>
    <row r="25" spans="2:11" s="3" customFormat="1" ht="13.2"/>
    <row r="26" spans="2:11" s="3" customFormat="1" ht="13.2"/>
    <row r="27" spans="2:11" s="3" customFormat="1" ht="13.2"/>
    <row r="28" spans="2:11" s="3" customFormat="1" ht="13.2"/>
    <row r="29" spans="2:11" s="3" customFormat="1" ht="13.2"/>
    <row r="30" spans="2:11" s="3" customFormat="1" ht="13.2"/>
    <row r="31" spans="2:11" s="3" customFormat="1" ht="13.2"/>
    <row r="32" spans="2:11" s="3" customFormat="1" ht="13.2"/>
    <row r="33" s="3" customFormat="1" ht="13.2"/>
    <row r="34" s="3" customFormat="1" ht="13.2"/>
    <row r="35" s="3" customFormat="1" ht="13.2"/>
    <row r="36" s="3" customFormat="1" ht="13.2"/>
  </sheetData>
  <mergeCells count="4">
    <mergeCell ref="B4:E4"/>
    <mergeCell ref="B11:E11"/>
    <mergeCell ref="B15:E15"/>
    <mergeCell ref="B16:E16"/>
  </mergeCells>
  <phoneticPr fontId="12"/>
  <pageMargins left="0.5" right="0.5" top="1.01" bottom="0.5" header="0.85" footer="0.51200000000000001"/>
  <pageSetup paperSize="9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  <pageSetUpPr fitToPage="1"/>
  </sheetPr>
  <dimension ref="B1:K51"/>
  <sheetViews>
    <sheetView showGridLines="0" defaultGridColor="0" colorId="22" zoomScale="90" zoomScaleNormal="9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I8" sqref="I8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3.6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61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46">
        <v>12239</v>
      </c>
      <c r="G5" s="47">
        <v>181165</v>
      </c>
      <c r="H5" s="47">
        <f>7747539627+314118998</f>
        <v>8061658625</v>
      </c>
      <c r="I5" s="48" t="s">
        <v>23</v>
      </c>
      <c r="J5" s="48" t="s">
        <v>23</v>
      </c>
      <c r="K5" s="48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46">
        <f>615525+3576</f>
        <v>619101</v>
      </c>
      <c r="G6" s="47">
        <f>942119+35078</f>
        <v>977197</v>
      </c>
      <c r="H6" s="47">
        <f>10010406154+444740023</f>
        <v>10455146177</v>
      </c>
      <c r="I6" s="48" t="s">
        <v>23</v>
      </c>
      <c r="J6" s="48" t="s">
        <v>23</v>
      </c>
      <c r="K6" s="48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46">
        <v>158851</v>
      </c>
      <c r="G7" s="47">
        <v>241642</v>
      </c>
      <c r="H7" s="47">
        <v>2020157833</v>
      </c>
      <c r="I7" s="48" t="s">
        <v>23</v>
      </c>
      <c r="J7" s="48" t="s">
        <v>23</v>
      </c>
      <c r="K7" s="48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46">
        <v>367585</v>
      </c>
      <c r="G8" s="51" t="s">
        <v>49</v>
      </c>
      <c r="H8" s="47">
        <v>4095297352</v>
      </c>
      <c r="I8" s="48" t="s">
        <v>23</v>
      </c>
      <c r="J8" s="48" t="s">
        <v>23</v>
      </c>
      <c r="K8" s="48" t="s">
        <v>23</v>
      </c>
    </row>
    <row r="9" spans="2:11" s="13" customFormat="1" ht="16.5" customHeight="1">
      <c r="B9" s="11"/>
      <c r="C9" s="10"/>
      <c r="D9" s="11"/>
      <c r="E9" s="77" t="s">
        <v>22</v>
      </c>
      <c r="F9" s="46">
        <f>SUM(F5:F8)</f>
        <v>1157776</v>
      </c>
      <c r="G9" s="47">
        <f>SUM(G5:G8)</f>
        <v>1400004</v>
      </c>
      <c r="H9" s="47">
        <f>SUM(H5:H8)</f>
        <v>24632259987</v>
      </c>
      <c r="I9" s="94">
        <v>18038151651</v>
      </c>
      <c r="J9" s="94">
        <v>5630294251</v>
      </c>
      <c r="K9" s="94">
        <v>963814085</v>
      </c>
    </row>
    <row r="10" spans="2:11" s="13" customFormat="1" ht="16.5" customHeight="1">
      <c r="B10" s="12"/>
      <c r="C10" s="12" t="s">
        <v>9</v>
      </c>
      <c r="D10" s="12"/>
      <c r="E10" s="11"/>
      <c r="F10" s="46">
        <f>20552+93</f>
        <v>20645</v>
      </c>
      <c r="G10" s="48" t="s">
        <v>49</v>
      </c>
      <c r="H10" s="47">
        <v>178151901</v>
      </c>
      <c r="I10" s="94">
        <f>129931980+1244450</f>
        <v>131176430</v>
      </c>
      <c r="J10" s="94">
        <f>37458658-1244450</f>
        <v>36214208</v>
      </c>
      <c r="K10" s="94">
        <v>10761263</v>
      </c>
    </row>
    <row r="11" spans="2:11" s="13" customFormat="1" ht="16.5" customHeight="1">
      <c r="B11" s="110" t="s">
        <v>19</v>
      </c>
      <c r="C11" s="110"/>
      <c r="D11" s="110"/>
      <c r="E11" s="107"/>
      <c r="F11" s="46">
        <f>SUM(F9+F10)</f>
        <v>1178421</v>
      </c>
      <c r="G11" s="98">
        <f>SUM(G9+G10)</f>
        <v>1400004</v>
      </c>
      <c r="H11" s="98">
        <f>SUM(H9+H10)</f>
        <v>24810411888</v>
      </c>
      <c r="I11" s="47">
        <f>I9+I10</f>
        <v>18169328081</v>
      </c>
      <c r="J11" s="47">
        <f>J9+J10</f>
        <v>5666508459</v>
      </c>
      <c r="K11" s="47">
        <f>K9+K10</f>
        <v>974575348</v>
      </c>
    </row>
    <row r="12" spans="2:11" s="13" customFormat="1" ht="16.5" customHeight="1">
      <c r="C12" s="12" t="s">
        <v>10</v>
      </c>
      <c r="D12" s="12"/>
      <c r="F12" s="46">
        <v>152</v>
      </c>
      <c r="G12" s="48">
        <v>0</v>
      </c>
      <c r="H12" s="48">
        <v>0</v>
      </c>
      <c r="I12" s="47">
        <v>74520000</v>
      </c>
      <c r="J12" s="48" t="s">
        <v>23</v>
      </c>
      <c r="K12" s="48" t="s">
        <v>23</v>
      </c>
    </row>
    <row r="13" spans="2:11" s="13" customFormat="1" ht="16.5" customHeight="1">
      <c r="C13" s="12" t="s">
        <v>11</v>
      </c>
      <c r="D13" s="12"/>
      <c r="F13" s="46">
        <v>367</v>
      </c>
      <c r="G13" s="48">
        <v>0</v>
      </c>
      <c r="H13" s="48">
        <v>0</v>
      </c>
      <c r="I13" s="47">
        <v>18350000</v>
      </c>
      <c r="J13" s="48" t="s">
        <v>23</v>
      </c>
      <c r="K13" s="48" t="s">
        <v>23</v>
      </c>
    </row>
    <row r="14" spans="2:11" s="13" customFormat="1" ht="16.5" customHeight="1">
      <c r="C14" s="12" t="s">
        <v>12</v>
      </c>
      <c r="D14" s="12"/>
      <c r="F14" s="46">
        <f>42699+12</f>
        <v>42711</v>
      </c>
      <c r="G14" s="48">
        <v>0</v>
      </c>
      <c r="H14" s="48">
        <v>0</v>
      </c>
      <c r="I14" s="47">
        <f>2510105236+879113</f>
        <v>2510984349</v>
      </c>
      <c r="J14" s="48" t="s">
        <v>23</v>
      </c>
      <c r="K14" s="48" t="s">
        <v>23</v>
      </c>
    </row>
    <row r="15" spans="2:11" s="13" customFormat="1" ht="16.5" customHeight="1">
      <c r="B15" s="106" t="s">
        <v>21</v>
      </c>
      <c r="C15" s="106"/>
      <c r="D15" s="106"/>
      <c r="E15" s="107"/>
      <c r="F15" s="46">
        <f>SUM(F12:F14)</f>
        <v>43230</v>
      </c>
      <c r="G15" s="48" t="s">
        <v>23</v>
      </c>
      <c r="H15" s="48" t="s">
        <v>23</v>
      </c>
      <c r="I15" s="47">
        <f>SUM(I12:I14)</f>
        <v>2603854349</v>
      </c>
      <c r="J15" s="48" t="s">
        <v>23</v>
      </c>
      <c r="K15" s="48" t="s">
        <v>23</v>
      </c>
    </row>
    <row r="16" spans="2:11" s="13" customFormat="1" ht="16.5" customHeight="1" thickBot="1">
      <c r="B16" s="108" t="s">
        <v>1</v>
      </c>
      <c r="C16" s="108"/>
      <c r="D16" s="108"/>
      <c r="E16" s="109"/>
      <c r="F16" s="80">
        <f>F11+F15</f>
        <v>1221651</v>
      </c>
      <c r="G16" s="81">
        <f>G11</f>
        <v>1400004</v>
      </c>
      <c r="H16" s="81">
        <f>H11</f>
        <v>24810411888</v>
      </c>
      <c r="I16" s="81">
        <f>I11+I15</f>
        <v>20773182430</v>
      </c>
      <c r="J16" s="81">
        <f>J11</f>
        <v>5666508459</v>
      </c>
      <c r="K16" s="81">
        <f>K11</f>
        <v>974575348</v>
      </c>
    </row>
    <row r="17" spans="2:11" s="3" customFormat="1" ht="4.5" customHeight="1">
      <c r="F17" s="39"/>
      <c r="G17" s="39"/>
      <c r="H17" s="39"/>
      <c r="I17" s="39"/>
      <c r="J17" s="39"/>
      <c r="K17" s="39"/>
    </row>
    <row r="18" spans="2:11" s="3" customFormat="1" ht="4.5" customHeight="1">
      <c r="F18" s="39"/>
      <c r="G18" s="39"/>
      <c r="H18" s="39"/>
      <c r="I18" s="39"/>
      <c r="J18" s="39"/>
      <c r="K18" s="39"/>
    </row>
    <row r="19" spans="2:11" s="3" customFormat="1" ht="12.75" customHeight="1">
      <c r="B19" s="14" t="s">
        <v>2</v>
      </c>
      <c r="C19" s="7"/>
      <c r="D19" s="7"/>
      <c r="E19" s="7"/>
      <c r="F19" s="58"/>
      <c r="G19" s="39"/>
      <c r="H19" s="39"/>
      <c r="I19" s="39"/>
      <c r="J19" s="39"/>
      <c r="K19" s="40" t="s">
        <v>59</v>
      </c>
    </row>
    <row r="20" spans="2:11" s="3" customFormat="1" ht="4.5" customHeight="1" thickBot="1">
      <c r="B20" s="4"/>
      <c r="C20" s="4"/>
      <c r="D20" s="4"/>
      <c r="E20" s="4"/>
      <c r="F20" s="41"/>
      <c r="G20" s="41"/>
      <c r="H20" s="41"/>
      <c r="I20" s="41"/>
      <c r="J20" s="41"/>
      <c r="K20" s="41"/>
    </row>
    <row r="21" spans="2:11" s="3" customFormat="1" ht="26.4">
      <c r="B21" s="99" t="s">
        <v>5</v>
      </c>
      <c r="C21" s="99"/>
      <c r="D21" s="99"/>
      <c r="E21" s="100"/>
      <c r="F21" s="42" t="s">
        <v>3</v>
      </c>
      <c r="G21" s="42" t="s">
        <v>4</v>
      </c>
      <c r="H21" s="42" t="s">
        <v>6</v>
      </c>
      <c r="I21" s="43" t="s">
        <v>17</v>
      </c>
      <c r="J21" s="43" t="s">
        <v>18</v>
      </c>
      <c r="K21" s="43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46">
        <v>0</v>
      </c>
      <c r="G22" s="47">
        <v>0</v>
      </c>
      <c r="H22" s="47">
        <v>0</v>
      </c>
      <c r="I22" s="48" t="s">
        <v>23</v>
      </c>
      <c r="J22" s="48" t="s">
        <v>23</v>
      </c>
      <c r="K22" s="48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46">
        <v>0</v>
      </c>
      <c r="G23" s="47">
        <v>0</v>
      </c>
      <c r="H23" s="47">
        <v>0</v>
      </c>
      <c r="I23" s="48" t="s">
        <v>23</v>
      </c>
      <c r="J23" s="48" t="s">
        <v>23</v>
      </c>
      <c r="K23" s="48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46">
        <v>0</v>
      </c>
      <c r="G24" s="47">
        <v>0</v>
      </c>
      <c r="H24" s="47">
        <v>0</v>
      </c>
      <c r="I24" s="48" t="s">
        <v>23</v>
      </c>
      <c r="J24" s="48" t="s">
        <v>23</v>
      </c>
      <c r="K24" s="48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46">
        <v>0</v>
      </c>
      <c r="G25" s="47">
        <v>0</v>
      </c>
      <c r="H25" s="47">
        <v>0</v>
      </c>
      <c r="I25" s="48" t="s">
        <v>23</v>
      </c>
      <c r="J25" s="48" t="s">
        <v>23</v>
      </c>
      <c r="K25" s="48" t="s">
        <v>23</v>
      </c>
    </row>
    <row r="26" spans="2:11" s="13" customFormat="1" ht="16.5" customHeight="1">
      <c r="B26" s="11"/>
      <c r="C26" s="10"/>
      <c r="D26" s="11"/>
      <c r="E26" s="77" t="s">
        <v>22</v>
      </c>
      <c r="F26" s="46">
        <f>SUM(F22:F25)</f>
        <v>0</v>
      </c>
      <c r="G26" s="47">
        <f>SUM(G22:G25)</f>
        <v>0</v>
      </c>
      <c r="H26" s="47">
        <f>SUM(H22:H25)</f>
        <v>0</v>
      </c>
      <c r="I26" s="47">
        <v>0</v>
      </c>
      <c r="J26" s="47">
        <v>0</v>
      </c>
      <c r="K26" s="47">
        <v>0</v>
      </c>
    </row>
    <row r="27" spans="2:11" s="13" customFormat="1" ht="16.5" customHeight="1">
      <c r="B27" s="12"/>
      <c r="C27" s="12" t="s">
        <v>9</v>
      </c>
      <c r="D27" s="12"/>
      <c r="E27" s="11"/>
      <c r="F27" s="46">
        <v>0</v>
      </c>
      <c r="G27" s="48" t="s">
        <v>23</v>
      </c>
      <c r="H27" s="47">
        <v>0</v>
      </c>
      <c r="I27" s="47">
        <v>0</v>
      </c>
      <c r="J27" s="47">
        <v>0</v>
      </c>
      <c r="K27" s="47">
        <v>0</v>
      </c>
    </row>
    <row r="28" spans="2:11" s="13" customFormat="1" ht="16.5" customHeight="1">
      <c r="B28" s="110" t="s">
        <v>20</v>
      </c>
      <c r="C28" s="110"/>
      <c r="D28" s="110"/>
      <c r="E28" s="107"/>
      <c r="F28" s="46">
        <f>F26+F27</f>
        <v>0</v>
      </c>
      <c r="G28" s="47">
        <f>G26</f>
        <v>0</v>
      </c>
      <c r="H28" s="47">
        <f>H26+H27</f>
        <v>0</v>
      </c>
      <c r="I28" s="47">
        <f>I26+I27</f>
        <v>0</v>
      </c>
      <c r="J28" s="47">
        <f>J26+J27</f>
        <v>0</v>
      </c>
      <c r="K28" s="47">
        <f>K26+K27</f>
        <v>0</v>
      </c>
    </row>
    <row r="29" spans="2:11" s="13" customFormat="1" ht="16.5" customHeight="1">
      <c r="C29" s="12" t="s">
        <v>10</v>
      </c>
      <c r="D29" s="12"/>
      <c r="F29" s="59" t="s">
        <v>23</v>
      </c>
      <c r="G29" s="48" t="s">
        <v>23</v>
      </c>
      <c r="H29" s="48" t="s">
        <v>23</v>
      </c>
      <c r="I29" s="48" t="s">
        <v>23</v>
      </c>
      <c r="J29" s="48" t="s">
        <v>23</v>
      </c>
      <c r="K29" s="48" t="s">
        <v>23</v>
      </c>
    </row>
    <row r="30" spans="2:11" s="13" customFormat="1" ht="16.5" customHeight="1">
      <c r="C30" s="12" t="s">
        <v>11</v>
      </c>
      <c r="D30" s="12"/>
      <c r="F30" s="59" t="s">
        <v>23</v>
      </c>
      <c r="G30" s="48" t="s">
        <v>23</v>
      </c>
      <c r="H30" s="48" t="s">
        <v>23</v>
      </c>
      <c r="I30" s="48" t="s">
        <v>23</v>
      </c>
      <c r="J30" s="48" t="s">
        <v>23</v>
      </c>
      <c r="K30" s="48" t="s">
        <v>23</v>
      </c>
    </row>
    <row r="31" spans="2:11" s="13" customFormat="1" ht="16.5" customHeight="1">
      <c r="C31" s="12" t="s">
        <v>12</v>
      </c>
      <c r="D31" s="12"/>
      <c r="F31" s="46">
        <v>0</v>
      </c>
      <c r="G31" s="48" t="s">
        <v>23</v>
      </c>
      <c r="H31" s="48" t="s">
        <v>23</v>
      </c>
      <c r="I31" s="47">
        <v>0</v>
      </c>
      <c r="J31" s="48" t="s">
        <v>23</v>
      </c>
      <c r="K31" s="48" t="s">
        <v>23</v>
      </c>
    </row>
    <row r="32" spans="2:11" s="13" customFormat="1" ht="16.5" customHeight="1">
      <c r="B32" s="106" t="s">
        <v>21</v>
      </c>
      <c r="C32" s="106"/>
      <c r="D32" s="106"/>
      <c r="E32" s="107"/>
      <c r="F32" s="46">
        <f>SUM(F29:F31)</f>
        <v>0</v>
      </c>
      <c r="G32" s="48" t="s">
        <v>23</v>
      </c>
      <c r="H32" s="48" t="s">
        <v>23</v>
      </c>
      <c r="I32" s="47">
        <f>SUM(I29:I31)</f>
        <v>0</v>
      </c>
      <c r="J32" s="48" t="s">
        <v>23</v>
      </c>
      <c r="K32" s="48" t="s">
        <v>23</v>
      </c>
    </row>
    <row r="33" spans="2:11" s="13" customFormat="1" ht="16.5" customHeight="1" thickBot="1">
      <c r="B33" s="108" t="s">
        <v>1</v>
      </c>
      <c r="C33" s="108"/>
      <c r="D33" s="108"/>
      <c r="E33" s="109"/>
      <c r="F33" s="80">
        <f>F28+F32</f>
        <v>0</v>
      </c>
      <c r="G33" s="81">
        <f>G28</f>
        <v>0</v>
      </c>
      <c r="H33" s="81">
        <f>H28</f>
        <v>0</v>
      </c>
      <c r="I33" s="81">
        <f>I28+I32</f>
        <v>0</v>
      </c>
      <c r="J33" s="81">
        <f>J28</f>
        <v>0</v>
      </c>
      <c r="K33" s="81">
        <f>K28</f>
        <v>0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  <pageSetUpPr fitToPage="1"/>
  </sheetPr>
  <dimension ref="B1:K51"/>
  <sheetViews>
    <sheetView showGridLines="0" defaultGridColor="0" colorId="22" zoomScale="90" zoomScaleNormal="90" workbookViewId="0">
      <pane xSplit="5" ySplit="4" topLeftCell="F5" activePane="bottomRight" state="frozen"/>
      <selection pane="topRight" activeCell="F1" sqref="F1"/>
      <selection pane="bottomLeft" activeCell="A5" sqref="A5"/>
      <selection pane="bottomRight" sqref="A1:IV65536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3.6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58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46">
        <v>12399</v>
      </c>
      <c r="G5" s="47">
        <v>177705</v>
      </c>
      <c r="H5" s="47">
        <f>7833199906+306395861</f>
        <v>8139595767</v>
      </c>
      <c r="I5" s="48" t="s">
        <v>60</v>
      </c>
      <c r="J5" s="48" t="s">
        <v>60</v>
      </c>
      <c r="K5" s="48" t="s">
        <v>60</v>
      </c>
    </row>
    <row r="6" spans="2:11" s="13" customFormat="1" ht="16.5" customHeight="1">
      <c r="B6" s="11"/>
      <c r="C6" s="10"/>
      <c r="D6" s="11"/>
      <c r="E6" s="12" t="s">
        <v>14</v>
      </c>
      <c r="F6" s="46">
        <f>637520+2883</f>
        <v>640403</v>
      </c>
      <c r="G6" s="47">
        <f>984988+27967</f>
        <v>1012955</v>
      </c>
      <c r="H6" s="47">
        <f>10182944431+358505118</f>
        <v>10541449549</v>
      </c>
      <c r="I6" s="48" t="s">
        <v>60</v>
      </c>
      <c r="J6" s="48" t="s">
        <v>60</v>
      </c>
      <c r="K6" s="48" t="s">
        <v>60</v>
      </c>
    </row>
    <row r="7" spans="2:11" s="13" customFormat="1" ht="16.5" customHeight="1">
      <c r="B7" s="11"/>
      <c r="C7" s="10"/>
      <c r="D7" s="11"/>
      <c r="E7" s="12" t="s">
        <v>15</v>
      </c>
      <c r="F7" s="46">
        <v>164391</v>
      </c>
      <c r="G7" s="47">
        <v>255012</v>
      </c>
      <c r="H7" s="47">
        <v>2083587831</v>
      </c>
      <c r="I7" s="48" t="s">
        <v>60</v>
      </c>
      <c r="J7" s="48" t="s">
        <v>60</v>
      </c>
      <c r="K7" s="48" t="s">
        <v>60</v>
      </c>
    </row>
    <row r="8" spans="2:11" s="13" customFormat="1" ht="16.5" customHeight="1">
      <c r="B8" s="11"/>
      <c r="C8" s="10"/>
      <c r="D8" s="11"/>
      <c r="E8" s="12" t="s">
        <v>16</v>
      </c>
      <c r="F8" s="46">
        <v>375188</v>
      </c>
      <c r="G8" s="51" t="s">
        <v>49</v>
      </c>
      <c r="H8" s="47">
        <v>4169807284</v>
      </c>
      <c r="I8" s="48" t="s">
        <v>60</v>
      </c>
      <c r="J8" s="48" t="s">
        <v>60</v>
      </c>
      <c r="K8" s="48" t="s">
        <v>60</v>
      </c>
    </row>
    <row r="9" spans="2:11" s="13" customFormat="1" ht="16.5" customHeight="1">
      <c r="B9" s="11"/>
      <c r="C9" s="10"/>
      <c r="D9" s="11"/>
      <c r="E9" s="77" t="s">
        <v>22</v>
      </c>
      <c r="F9" s="46">
        <f>SUM(F5:F8)</f>
        <v>1192381</v>
      </c>
      <c r="G9" s="47">
        <f>SUM(G5:G8)</f>
        <v>1445672</v>
      </c>
      <c r="H9" s="47">
        <f>SUM(H5:H8)</f>
        <v>24934440431</v>
      </c>
      <c r="I9" s="47">
        <v>18282197373</v>
      </c>
      <c r="J9" s="47">
        <v>5676955977</v>
      </c>
      <c r="K9" s="47">
        <v>975287081</v>
      </c>
    </row>
    <row r="10" spans="2:11" s="13" customFormat="1" ht="16.5" customHeight="1">
      <c r="B10" s="12"/>
      <c r="C10" s="12" t="s">
        <v>9</v>
      </c>
      <c r="D10" s="12"/>
      <c r="E10" s="11"/>
      <c r="F10" s="46">
        <f>21931+57</f>
        <v>21988</v>
      </c>
      <c r="G10" s="48" t="s">
        <v>60</v>
      </c>
      <c r="H10" s="47">
        <v>190619089</v>
      </c>
      <c r="I10" s="47">
        <f>139723571+441660</f>
        <v>140165231</v>
      </c>
      <c r="J10" s="47">
        <f>40340742-441660</f>
        <v>39899082</v>
      </c>
      <c r="K10" s="47">
        <v>10554776</v>
      </c>
    </row>
    <row r="11" spans="2:11" s="13" customFormat="1" ht="16.5" customHeight="1">
      <c r="B11" s="110" t="s">
        <v>19</v>
      </c>
      <c r="C11" s="110"/>
      <c r="D11" s="110"/>
      <c r="E11" s="107"/>
      <c r="F11" s="46">
        <v>1211429</v>
      </c>
      <c r="G11" s="98">
        <v>1857603</v>
      </c>
      <c r="H11" s="98">
        <v>24460158541</v>
      </c>
      <c r="I11" s="47">
        <v>18421920944</v>
      </c>
      <c r="J11" s="47">
        <v>5717296719</v>
      </c>
      <c r="K11" s="47">
        <v>985841857</v>
      </c>
    </row>
    <row r="12" spans="2:11" s="13" customFormat="1" ht="16.5" customHeight="1">
      <c r="C12" s="12" t="s">
        <v>10</v>
      </c>
      <c r="D12" s="12"/>
      <c r="F12" s="46">
        <v>182</v>
      </c>
      <c r="G12" s="48">
        <v>0</v>
      </c>
      <c r="H12" s="48">
        <v>0</v>
      </c>
      <c r="I12" s="47">
        <v>76352000</v>
      </c>
      <c r="J12" s="48" t="s">
        <v>60</v>
      </c>
      <c r="K12" s="48" t="s">
        <v>60</v>
      </c>
    </row>
    <row r="13" spans="2:11" s="13" customFormat="1" ht="16.5" customHeight="1">
      <c r="C13" s="12" t="s">
        <v>11</v>
      </c>
      <c r="D13" s="12"/>
      <c r="F13" s="46">
        <v>389</v>
      </c>
      <c r="G13" s="48">
        <v>0</v>
      </c>
      <c r="H13" s="48">
        <v>0</v>
      </c>
      <c r="I13" s="47">
        <v>19450000</v>
      </c>
      <c r="J13" s="48" t="s">
        <v>60</v>
      </c>
      <c r="K13" s="48" t="s">
        <v>60</v>
      </c>
    </row>
    <row r="14" spans="2:11" s="13" customFormat="1" ht="16.5" customHeight="1">
      <c r="C14" s="12" t="s">
        <v>12</v>
      </c>
      <c r="D14" s="12"/>
      <c r="F14" s="46">
        <v>43509</v>
      </c>
      <c r="G14" s="48">
        <v>0</v>
      </c>
      <c r="H14" s="48">
        <v>0</v>
      </c>
      <c r="I14" s="47">
        <v>2440451254</v>
      </c>
      <c r="J14" s="48" t="s">
        <v>60</v>
      </c>
      <c r="K14" s="48" t="s">
        <v>60</v>
      </c>
    </row>
    <row r="15" spans="2:11" s="13" customFormat="1" ht="16.5" customHeight="1">
      <c r="B15" s="106" t="s">
        <v>21</v>
      </c>
      <c r="C15" s="106"/>
      <c r="D15" s="106"/>
      <c r="E15" s="107"/>
      <c r="F15" s="46">
        <v>44080</v>
      </c>
      <c r="G15" s="48" t="s">
        <v>60</v>
      </c>
      <c r="H15" s="48" t="s">
        <v>60</v>
      </c>
      <c r="I15" s="47">
        <v>2536253254</v>
      </c>
      <c r="J15" s="48" t="s">
        <v>60</v>
      </c>
      <c r="K15" s="48" t="s">
        <v>60</v>
      </c>
    </row>
    <row r="16" spans="2:11" s="13" customFormat="1" ht="16.5" customHeight="1" thickBot="1">
      <c r="B16" s="108" t="s">
        <v>1</v>
      </c>
      <c r="C16" s="108"/>
      <c r="D16" s="108"/>
      <c r="E16" s="109"/>
      <c r="F16" s="80">
        <v>1255509</v>
      </c>
      <c r="G16" s="81">
        <v>1857603</v>
      </c>
      <c r="H16" s="81">
        <v>24460158541</v>
      </c>
      <c r="I16" s="81">
        <v>20958174198</v>
      </c>
      <c r="J16" s="81">
        <v>5717296719</v>
      </c>
      <c r="K16" s="81">
        <v>985841857</v>
      </c>
    </row>
    <row r="17" spans="2:11" s="3" customFormat="1" ht="4.5" customHeight="1">
      <c r="F17" s="39"/>
      <c r="G17" s="39"/>
      <c r="H17" s="39"/>
      <c r="I17" s="39"/>
      <c r="J17" s="39"/>
      <c r="K17" s="39"/>
    </row>
    <row r="18" spans="2:11" s="3" customFormat="1" ht="4.5" customHeight="1">
      <c r="F18" s="39"/>
      <c r="G18" s="39"/>
      <c r="H18" s="39"/>
      <c r="I18" s="39"/>
      <c r="J18" s="39"/>
      <c r="K18" s="39"/>
    </row>
    <row r="19" spans="2:11" s="3" customFormat="1" ht="12.75" customHeight="1">
      <c r="B19" s="14" t="s">
        <v>2</v>
      </c>
      <c r="C19" s="7"/>
      <c r="D19" s="7"/>
      <c r="E19" s="7"/>
      <c r="F19" s="58"/>
      <c r="G19" s="39"/>
      <c r="H19" s="39"/>
      <c r="I19" s="39"/>
      <c r="J19" s="39"/>
      <c r="K19" s="40" t="s">
        <v>57</v>
      </c>
    </row>
    <row r="20" spans="2:11" s="3" customFormat="1" ht="4.5" customHeight="1" thickBot="1">
      <c r="B20" s="4"/>
      <c r="C20" s="4"/>
      <c r="D20" s="4"/>
      <c r="E20" s="4"/>
      <c r="F20" s="41"/>
      <c r="G20" s="41"/>
      <c r="H20" s="41"/>
      <c r="I20" s="41"/>
      <c r="J20" s="41"/>
      <c r="K20" s="41"/>
    </row>
    <row r="21" spans="2:11" s="3" customFormat="1" ht="26.4">
      <c r="B21" s="99" t="s">
        <v>5</v>
      </c>
      <c r="C21" s="99"/>
      <c r="D21" s="99"/>
      <c r="E21" s="100"/>
      <c r="F21" s="42" t="s">
        <v>3</v>
      </c>
      <c r="G21" s="42" t="s">
        <v>4</v>
      </c>
      <c r="H21" s="42" t="s">
        <v>6</v>
      </c>
      <c r="I21" s="43" t="s">
        <v>17</v>
      </c>
      <c r="J21" s="43" t="s">
        <v>18</v>
      </c>
      <c r="K21" s="43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46">
        <v>0</v>
      </c>
      <c r="G22" s="47">
        <v>0</v>
      </c>
      <c r="H22" s="47">
        <v>0</v>
      </c>
      <c r="I22" s="48" t="s">
        <v>23</v>
      </c>
      <c r="J22" s="48" t="s">
        <v>23</v>
      </c>
      <c r="K22" s="48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46">
        <v>-1</v>
      </c>
      <c r="G23" s="47">
        <v>-1</v>
      </c>
      <c r="H23" s="47">
        <v>-28530</v>
      </c>
      <c r="I23" s="48" t="s">
        <v>23</v>
      </c>
      <c r="J23" s="48" t="s">
        <v>23</v>
      </c>
      <c r="K23" s="48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46">
        <v>0</v>
      </c>
      <c r="G24" s="47">
        <v>0</v>
      </c>
      <c r="H24" s="47">
        <v>0</v>
      </c>
      <c r="I24" s="48" t="s">
        <v>23</v>
      </c>
      <c r="J24" s="48" t="s">
        <v>23</v>
      </c>
      <c r="K24" s="48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46">
        <v>0</v>
      </c>
      <c r="G25" s="47">
        <v>0</v>
      </c>
      <c r="H25" s="47">
        <v>0</v>
      </c>
      <c r="I25" s="48" t="s">
        <v>23</v>
      </c>
      <c r="J25" s="48" t="s">
        <v>23</v>
      </c>
      <c r="K25" s="48" t="s">
        <v>23</v>
      </c>
    </row>
    <row r="26" spans="2:11" s="13" customFormat="1" ht="16.5" customHeight="1">
      <c r="B26" s="11"/>
      <c r="C26" s="10"/>
      <c r="D26" s="11"/>
      <c r="E26" s="77" t="s">
        <v>22</v>
      </c>
      <c r="F26" s="46">
        <f>SUM(F22:F25)</f>
        <v>-1</v>
      </c>
      <c r="G26" s="47">
        <f>SUM(G22:G25)</f>
        <v>-1</v>
      </c>
      <c r="H26" s="47">
        <f>SUM(H22:H25)</f>
        <v>-28530</v>
      </c>
      <c r="I26" s="47">
        <v>0</v>
      </c>
      <c r="J26" s="47">
        <v>0</v>
      </c>
      <c r="K26" s="47">
        <v>0</v>
      </c>
    </row>
    <row r="27" spans="2:11" s="13" customFormat="1" ht="16.5" customHeight="1">
      <c r="B27" s="12"/>
      <c r="C27" s="12" t="s">
        <v>9</v>
      </c>
      <c r="D27" s="12"/>
      <c r="E27" s="11"/>
      <c r="F27" s="46">
        <v>0</v>
      </c>
      <c r="G27" s="48" t="s">
        <v>23</v>
      </c>
      <c r="H27" s="47">
        <v>0</v>
      </c>
      <c r="I27" s="47">
        <v>0</v>
      </c>
      <c r="J27" s="47">
        <v>0</v>
      </c>
      <c r="K27" s="47">
        <v>0</v>
      </c>
    </row>
    <row r="28" spans="2:11" s="13" customFormat="1" ht="16.5" customHeight="1">
      <c r="B28" s="110" t="s">
        <v>20</v>
      </c>
      <c r="C28" s="110"/>
      <c r="D28" s="110"/>
      <c r="E28" s="107"/>
      <c r="F28" s="46">
        <f>F26+F27</f>
        <v>-1</v>
      </c>
      <c r="G28" s="47">
        <f>G26</f>
        <v>-1</v>
      </c>
      <c r="H28" s="47">
        <f>H26+H27</f>
        <v>-28530</v>
      </c>
      <c r="I28" s="47">
        <f>I26+I27</f>
        <v>0</v>
      </c>
      <c r="J28" s="47">
        <f>J26+J27</f>
        <v>0</v>
      </c>
      <c r="K28" s="47">
        <f>K26+K27</f>
        <v>0</v>
      </c>
    </row>
    <row r="29" spans="2:11" s="13" customFormat="1" ht="16.5" customHeight="1">
      <c r="C29" s="12" t="s">
        <v>10</v>
      </c>
      <c r="D29" s="12"/>
      <c r="F29" s="59" t="s">
        <v>23</v>
      </c>
      <c r="G29" s="48" t="s">
        <v>23</v>
      </c>
      <c r="H29" s="48" t="s">
        <v>23</v>
      </c>
      <c r="I29" s="48" t="s">
        <v>23</v>
      </c>
      <c r="J29" s="48" t="s">
        <v>23</v>
      </c>
      <c r="K29" s="48" t="s">
        <v>23</v>
      </c>
    </row>
    <row r="30" spans="2:11" s="13" customFormat="1" ht="16.5" customHeight="1">
      <c r="C30" s="12" t="s">
        <v>11</v>
      </c>
      <c r="D30" s="12"/>
      <c r="F30" s="59" t="s">
        <v>23</v>
      </c>
      <c r="G30" s="48" t="s">
        <v>23</v>
      </c>
      <c r="H30" s="48" t="s">
        <v>23</v>
      </c>
      <c r="I30" s="48" t="s">
        <v>23</v>
      </c>
      <c r="J30" s="48" t="s">
        <v>23</v>
      </c>
      <c r="K30" s="48" t="s">
        <v>23</v>
      </c>
    </row>
    <row r="31" spans="2:11" s="13" customFormat="1" ht="16.5" customHeight="1">
      <c r="C31" s="12" t="s">
        <v>12</v>
      </c>
      <c r="D31" s="12"/>
      <c r="F31" s="46">
        <v>0</v>
      </c>
      <c r="G31" s="48" t="s">
        <v>23</v>
      </c>
      <c r="H31" s="48" t="s">
        <v>23</v>
      </c>
      <c r="I31" s="47">
        <v>0</v>
      </c>
      <c r="J31" s="48" t="s">
        <v>23</v>
      </c>
      <c r="K31" s="48" t="s">
        <v>23</v>
      </c>
    </row>
    <row r="32" spans="2:11" s="13" customFormat="1" ht="16.5" customHeight="1">
      <c r="B32" s="106" t="s">
        <v>21</v>
      </c>
      <c r="C32" s="106"/>
      <c r="D32" s="106"/>
      <c r="E32" s="107"/>
      <c r="F32" s="46">
        <f>SUM(F29:F31)</f>
        <v>0</v>
      </c>
      <c r="G32" s="48" t="s">
        <v>23</v>
      </c>
      <c r="H32" s="48" t="s">
        <v>23</v>
      </c>
      <c r="I32" s="68">
        <f>SUM(I29:I31)</f>
        <v>0</v>
      </c>
      <c r="J32" s="69" t="s">
        <v>23</v>
      </c>
      <c r="K32" s="69" t="s">
        <v>23</v>
      </c>
    </row>
    <row r="33" spans="2:11" s="13" customFormat="1" ht="16.5" customHeight="1" thickBot="1">
      <c r="B33" s="108" t="s">
        <v>1</v>
      </c>
      <c r="C33" s="108"/>
      <c r="D33" s="108"/>
      <c r="E33" s="109"/>
      <c r="F33" s="80">
        <f>F28+F32</f>
        <v>-1</v>
      </c>
      <c r="G33" s="81">
        <f>G28</f>
        <v>-1</v>
      </c>
      <c r="H33" s="81">
        <f>H28</f>
        <v>-28530</v>
      </c>
      <c r="I33" s="79">
        <f>I28+I32</f>
        <v>0</v>
      </c>
      <c r="J33" s="79">
        <f>J28</f>
        <v>0</v>
      </c>
      <c r="K33" s="79">
        <f>K28</f>
        <v>0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4" fitToHeight="0" orientation="portrait" r:id="rId1"/>
  <headerFooter alignWithMargins="0"/>
  <ignoredErrors>
    <ignoredError sqref="G2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  <pageSetUpPr fitToPage="1"/>
  </sheetPr>
  <dimension ref="B1:K51"/>
  <sheetViews>
    <sheetView showGridLines="0" defaultGridColor="0" colorId="22" zoomScale="90" zoomScaleNormal="9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J11" sqref="J11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3.6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56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67">
        <v>12819</v>
      </c>
      <c r="G5" s="68">
        <v>188486</v>
      </c>
      <c r="H5" s="68">
        <f>7902979095+326037309</f>
        <v>8229016404</v>
      </c>
      <c r="I5" s="69" t="s">
        <v>23</v>
      </c>
      <c r="J5" s="69" t="s">
        <v>23</v>
      </c>
      <c r="K5" s="69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67">
        <f>650016+2528</f>
        <v>652544</v>
      </c>
      <c r="G6" s="68">
        <f>1018794+24192</f>
        <v>1042986</v>
      </c>
      <c r="H6" s="68">
        <f>10266715400+306935713</f>
        <v>10573651113</v>
      </c>
      <c r="I6" s="69" t="s">
        <v>23</v>
      </c>
      <c r="J6" s="69" t="s">
        <v>23</v>
      </c>
      <c r="K6" s="69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67">
        <v>166107</v>
      </c>
      <c r="G7" s="68">
        <v>263661</v>
      </c>
      <c r="H7" s="68">
        <v>2125698725</v>
      </c>
      <c r="I7" s="69" t="s">
        <v>23</v>
      </c>
      <c r="J7" s="69" t="s">
        <v>23</v>
      </c>
      <c r="K7" s="69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67">
        <v>373918</v>
      </c>
      <c r="G8" s="70" t="s">
        <v>49</v>
      </c>
      <c r="H8" s="68">
        <v>4290222878</v>
      </c>
      <c r="I8" s="69" t="s">
        <v>23</v>
      </c>
      <c r="J8" s="69" t="s">
        <v>23</v>
      </c>
      <c r="K8" s="69" t="s">
        <v>23</v>
      </c>
    </row>
    <row r="9" spans="2:11" s="13" customFormat="1" ht="16.5" customHeight="1">
      <c r="B9" s="11"/>
      <c r="C9" s="10"/>
      <c r="D9" s="11"/>
      <c r="E9" s="77" t="s">
        <v>22</v>
      </c>
      <c r="F9" s="67">
        <f>SUM(F5:F8)</f>
        <v>1205388</v>
      </c>
      <c r="G9" s="68">
        <f>SUM(G5:G8)</f>
        <v>1495133</v>
      </c>
      <c r="H9" s="68">
        <f>SUM(H5:H8)</f>
        <v>25218589120</v>
      </c>
      <c r="I9" s="68">
        <v>18497000208</v>
      </c>
      <c r="J9" s="68">
        <v>5775356361</v>
      </c>
      <c r="K9" s="68">
        <v>946232551</v>
      </c>
    </row>
    <row r="10" spans="2:11" s="13" customFormat="1" ht="16.5" customHeight="1">
      <c r="B10" s="12"/>
      <c r="C10" s="12" t="s">
        <v>9</v>
      </c>
      <c r="D10" s="12"/>
      <c r="E10" s="11"/>
      <c r="F10" s="67">
        <v>22687</v>
      </c>
      <c r="G10" s="69" t="s">
        <v>49</v>
      </c>
      <c r="H10" s="68">
        <v>199500112</v>
      </c>
      <c r="I10" s="68">
        <v>146027113</v>
      </c>
      <c r="J10" s="68">
        <v>41942992</v>
      </c>
      <c r="K10" s="68">
        <v>11530007</v>
      </c>
    </row>
    <row r="11" spans="2:11" s="13" customFormat="1" ht="16.5" customHeight="1">
      <c r="B11" s="110" t="s">
        <v>19</v>
      </c>
      <c r="C11" s="110"/>
      <c r="D11" s="110"/>
      <c r="E11" s="107"/>
      <c r="F11" s="67">
        <f t="shared" ref="F11:K11" si="0">F9+F10</f>
        <v>1228075</v>
      </c>
      <c r="G11" s="68">
        <f t="shared" si="0"/>
        <v>1495133</v>
      </c>
      <c r="H11" s="68">
        <f t="shared" si="0"/>
        <v>25418089232</v>
      </c>
      <c r="I11" s="68">
        <f t="shared" si="0"/>
        <v>18643027321</v>
      </c>
      <c r="J11" s="68">
        <f t="shared" si="0"/>
        <v>5817299353</v>
      </c>
      <c r="K11" s="68">
        <f t="shared" si="0"/>
        <v>957762558</v>
      </c>
    </row>
    <row r="12" spans="2:11" s="13" customFormat="1" ht="16.5" customHeight="1">
      <c r="C12" s="12" t="s">
        <v>10</v>
      </c>
      <c r="D12" s="12"/>
      <c r="F12" s="67">
        <v>182</v>
      </c>
      <c r="G12" s="69" t="s">
        <v>49</v>
      </c>
      <c r="H12" s="69" t="s">
        <v>49</v>
      </c>
      <c r="I12" s="68">
        <v>76312000</v>
      </c>
      <c r="J12" s="69" t="s">
        <v>23</v>
      </c>
      <c r="K12" s="69" t="s">
        <v>23</v>
      </c>
    </row>
    <row r="13" spans="2:11" s="13" customFormat="1" ht="16.5" customHeight="1">
      <c r="C13" s="12" t="s">
        <v>11</v>
      </c>
      <c r="D13" s="12"/>
      <c r="F13" s="67">
        <v>419</v>
      </c>
      <c r="G13" s="69" t="s">
        <v>49</v>
      </c>
      <c r="H13" s="69" t="s">
        <v>49</v>
      </c>
      <c r="I13" s="68">
        <v>20950000</v>
      </c>
      <c r="J13" s="69" t="s">
        <v>23</v>
      </c>
      <c r="K13" s="69" t="s">
        <v>23</v>
      </c>
    </row>
    <row r="14" spans="2:11" s="13" customFormat="1" ht="16.5" customHeight="1">
      <c r="C14" s="12" t="s">
        <v>12</v>
      </c>
      <c r="D14" s="12"/>
      <c r="F14" s="67">
        <v>43483</v>
      </c>
      <c r="G14" s="69" t="s">
        <v>23</v>
      </c>
      <c r="H14" s="69" t="s">
        <v>23</v>
      </c>
      <c r="I14" s="68">
        <v>2465044114</v>
      </c>
      <c r="J14" s="69" t="s">
        <v>23</v>
      </c>
      <c r="K14" s="69" t="s">
        <v>23</v>
      </c>
    </row>
    <row r="15" spans="2:11" s="13" customFormat="1" ht="16.5" customHeight="1">
      <c r="B15" s="106" t="s">
        <v>21</v>
      </c>
      <c r="C15" s="106"/>
      <c r="D15" s="106"/>
      <c r="E15" s="107"/>
      <c r="F15" s="67">
        <f>SUM(F12:F14)</f>
        <v>44084</v>
      </c>
      <c r="G15" s="69" t="s">
        <v>23</v>
      </c>
      <c r="H15" s="69" t="s">
        <v>23</v>
      </c>
      <c r="I15" s="68">
        <f>SUM(I12:I14)</f>
        <v>2562306114</v>
      </c>
      <c r="J15" s="69" t="s">
        <v>23</v>
      </c>
      <c r="K15" s="69" t="s">
        <v>23</v>
      </c>
    </row>
    <row r="16" spans="2:11" s="13" customFormat="1" ht="16.5" customHeight="1" thickBot="1">
      <c r="B16" s="108" t="s">
        <v>1</v>
      </c>
      <c r="C16" s="108"/>
      <c r="D16" s="108"/>
      <c r="E16" s="109"/>
      <c r="F16" s="78">
        <f>F11+F15</f>
        <v>1272159</v>
      </c>
      <c r="G16" s="79">
        <f>G11</f>
        <v>1495133</v>
      </c>
      <c r="H16" s="79">
        <f>H11</f>
        <v>25418089232</v>
      </c>
      <c r="I16" s="79">
        <f>I11+I15</f>
        <v>21205333435</v>
      </c>
      <c r="J16" s="79">
        <f>J11</f>
        <v>5817299353</v>
      </c>
      <c r="K16" s="79">
        <f>K11</f>
        <v>957762558</v>
      </c>
    </row>
    <row r="17" spans="2:11" s="3" customFormat="1" ht="4.5" customHeight="1">
      <c r="F17" s="62"/>
      <c r="G17" s="62"/>
      <c r="H17" s="62"/>
      <c r="I17" s="62"/>
      <c r="J17" s="62"/>
      <c r="K17" s="62"/>
    </row>
    <row r="18" spans="2:11" s="3" customFormat="1" ht="4.5" customHeight="1">
      <c r="F18" s="62"/>
      <c r="G18" s="62"/>
      <c r="H18" s="62"/>
      <c r="I18" s="62"/>
      <c r="J18" s="62"/>
      <c r="K18" s="62"/>
    </row>
    <row r="19" spans="2:11" s="3" customFormat="1" ht="12.75" customHeight="1">
      <c r="B19" s="14" t="s">
        <v>2</v>
      </c>
      <c r="C19" s="7"/>
      <c r="D19" s="7"/>
      <c r="E19" s="7"/>
      <c r="F19" s="73"/>
      <c r="G19" s="62"/>
      <c r="H19" s="62"/>
      <c r="I19" s="62"/>
      <c r="J19" s="62"/>
      <c r="K19" s="63" t="s">
        <v>57</v>
      </c>
    </row>
    <row r="20" spans="2:11" s="3" customFormat="1" ht="4.5" customHeight="1" thickBot="1">
      <c r="B20" s="4"/>
      <c r="C20" s="4"/>
      <c r="D20" s="4"/>
      <c r="E20" s="4"/>
      <c r="F20" s="64"/>
      <c r="G20" s="64"/>
      <c r="H20" s="64"/>
      <c r="I20" s="64"/>
      <c r="J20" s="64"/>
      <c r="K20" s="64"/>
    </row>
    <row r="21" spans="2:11" s="3" customFormat="1" ht="26.4">
      <c r="B21" s="99" t="s">
        <v>5</v>
      </c>
      <c r="C21" s="99"/>
      <c r="D21" s="99"/>
      <c r="E21" s="100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67">
        <v>0</v>
      </c>
      <c r="G22" s="68">
        <v>0</v>
      </c>
      <c r="H22" s="68">
        <v>0</v>
      </c>
      <c r="I22" s="69" t="s">
        <v>23</v>
      </c>
      <c r="J22" s="69" t="s">
        <v>23</v>
      </c>
      <c r="K22" s="69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67">
        <v>1</v>
      </c>
      <c r="G23" s="68">
        <v>1</v>
      </c>
      <c r="H23" s="68">
        <v>16720</v>
      </c>
      <c r="I23" s="69" t="s">
        <v>23</v>
      </c>
      <c r="J23" s="69" t="s">
        <v>23</v>
      </c>
      <c r="K23" s="69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67">
        <v>-1</v>
      </c>
      <c r="G24" s="68">
        <v>-2</v>
      </c>
      <c r="H24" s="68">
        <v>3880</v>
      </c>
      <c r="I24" s="69" t="s">
        <v>23</v>
      </c>
      <c r="J24" s="69" t="s">
        <v>23</v>
      </c>
      <c r="K24" s="69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67">
        <v>0</v>
      </c>
      <c r="G25" s="68">
        <v>0</v>
      </c>
      <c r="H25" s="68">
        <v>0</v>
      </c>
      <c r="I25" s="69" t="s">
        <v>23</v>
      </c>
      <c r="J25" s="69" t="s">
        <v>23</v>
      </c>
      <c r="K25" s="69" t="s">
        <v>23</v>
      </c>
    </row>
    <row r="26" spans="2:11" s="13" customFormat="1" ht="16.5" customHeight="1">
      <c r="B26" s="11"/>
      <c r="C26" s="10"/>
      <c r="D26" s="11"/>
      <c r="E26" s="77" t="s">
        <v>22</v>
      </c>
      <c r="F26" s="67">
        <f>SUM(F22:F25)</f>
        <v>0</v>
      </c>
      <c r="G26" s="68">
        <f>SUM(G22:G25)</f>
        <v>-1</v>
      </c>
      <c r="H26" s="68">
        <f>SUM(H22:H25)</f>
        <v>20600</v>
      </c>
      <c r="I26" s="68">
        <v>0</v>
      </c>
      <c r="J26" s="68">
        <v>0</v>
      </c>
      <c r="K26" s="68">
        <v>0</v>
      </c>
    </row>
    <row r="27" spans="2:11" s="13" customFormat="1" ht="16.5" customHeight="1">
      <c r="B27" s="12"/>
      <c r="C27" s="12" t="s">
        <v>9</v>
      </c>
      <c r="D27" s="12"/>
      <c r="E27" s="11"/>
      <c r="F27" s="67">
        <v>0</v>
      </c>
      <c r="G27" s="69" t="s">
        <v>23</v>
      </c>
      <c r="H27" s="68">
        <v>0</v>
      </c>
      <c r="I27" s="68">
        <v>0</v>
      </c>
      <c r="J27" s="68">
        <v>0</v>
      </c>
      <c r="K27" s="68">
        <v>0</v>
      </c>
    </row>
    <row r="28" spans="2:11" s="13" customFormat="1" ht="16.5" customHeight="1">
      <c r="B28" s="110" t="s">
        <v>20</v>
      </c>
      <c r="C28" s="110"/>
      <c r="D28" s="110"/>
      <c r="E28" s="107"/>
      <c r="F28" s="67">
        <f>F26+F27</f>
        <v>0</v>
      </c>
      <c r="G28" s="68">
        <f>G26</f>
        <v>-1</v>
      </c>
      <c r="H28" s="68">
        <f>H26+H27</f>
        <v>20600</v>
      </c>
      <c r="I28" s="68">
        <f>I26+I27</f>
        <v>0</v>
      </c>
      <c r="J28" s="68">
        <f>J26+J27</f>
        <v>0</v>
      </c>
      <c r="K28" s="68">
        <f>K26+K27</f>
        <v>0</v>
      </c>
    </row>
    <row r="29" spans="2:11" s="13" customFormat="1" ht="16.5" customHeight="1">
      <c r="C29" s="12" t="s">
        <v>10</v>
      </c>
      <c r="D29" s="12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13" customFormat="1" ht="16.5" customHeight="1">
      <c r="C30" s="12" t="s">
        <v>11</v>
      </c>
      <c r="D30" s="12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13" customFormat="1" ht="16.5" customHeight="1">
      <c r="C31" s="12" t="s">
        <v>12</v>
      </c>
      <c r="D31" s="12"/>
      <c r="F31" s="67">
        <v>0</v>
      </c>
      <c r="G31" s="69" t="s">
        <v>23</v>
      </c>
      <c r="H31" s="69" t="s">
        <v>23</v>
      </c>
      <c r="I31" s="68">
        <v>0</v>
      </c>
      <c r="J31" s="69" t="s">
        <v>23</v>
      </c>
      <c r="K31" s="69" t="s">
        <v>23</v>
      </c>
    </row>
    <row r="32" spans="2:11" s="13" customFormat="1" ht="16.5" customHeight="1">
      <c r="B32" s="106" t="s">
        <v>21</v>
      </c>
      <c r="C32" s="106"/>
      <c r="D32" s="106"/>
      <c r="E32" s="107"/>
      <c r="F32" s="67">
        <f>SUM(F29:F31)</f>
        <v>0</v>
      </c>
      <c r="G32" s="69" t="s">
        <v>23</v>
      </c>
      <c r="H32" s="69" t="s">
        <v>23</v>
      </c>
      <c r="I32" s="68">
        <f>SUM(I29:I31)</f>
        <v>0</v>
      </c>
      <c r="J32" s="69" t="s">
        <v>23</v>
      </c>
      <c r="K32" s="69" t="s">
        <v>23</v>
      </c>
    </row>
    <row r="33" spans="2:11" s="13" customFormat="1" ht="16.5" customHeight="1" thickBot="1">
      <c r="B33" s="108" t="s">
        <v>1</v>
      </c>
      <c r="C33" s="108"/>
      <c r="D33" s="108"/>
      <c r="E33" s="109"/>
      <c r="F33" s="78">
        <f>F28+F32</f>
        <v>0</v>
      </c>
      <c r="G33" s="79">
        <f>G28</f>
        <v>-1</v>
      </c>
      <c r="H33" s="79">
        <f>H28</f>
        <v>20600</v>
      </c>
      <c r="I33" s="79">
        <f>I28+I32</f>
        <v>0</v>
      </c>
      <c r="J33" s="79">
        <f>J28</f>
        <v>0</v>
      </c>
      <c r="K33" s="79">
        <f>K28</f>
        <v>0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4" fitToHeight="0" orientation="portrait" r:id="rId1"/>
  <headerFooter alignWithMargins="0"/>
  <ignoredErrors>
    <ignoredError sqref="I16 I33 G28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  <pageSetUpPr fitToPage="1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G8" sqref="G8"/>
    </sheetView>
  </sheetViews>
  <sheetFormatPr defaultColWidth="8.59765625" defaultRowHeight="14.4"/>
  <cols>
    <col min="1" max="1" width="1.59765625" style="84" customWidth="1"/>
    <col min="2" max="2" width="2.796875" style="84" customWidth="1"/>
    <col min="3" max="3" width="2.796875" style="84" bestFit="1" customWidth="1"/>
    <col min="4" max="4" width="6.59765625" style="84" customWidth="1"/>
    <col min="5" max="5" width="14.296875" style="84" customWidth="1"/>
    <col min="6" max="6" width="13.69921875" style="84" bestFit="1" customWidth="1"/>
    <col min="7" max="7" width="11.19921875" style="84" customWidth="1"/>
    <col min="8" max="8" width="16.19921875" style="84" customWidth="1"/>
    <col min="9" max="9" width="17.296875" style="84" bestFit="1" customWidth="1"/>
    <col min="10" max="10" width="15.296875" style="84" customWidth="1"/>
    <col min="11" max="11" width="14.5" style="84" customWidth="1"/>
    <col min="12" max="16384" width="8.59765625" style="84"/>
  </cols>
  <sheetData>
    <row r="1" spans="2:11" ht="23.4">
      <c r="B1" s="82" t="s">
        <v>25</v>
      </c>
      <c r="C1" s="82"/>
      <c r="D1" s="82"/>
      <c r="E1" s="82"/>
      <c r="F1" s="82"/>
      <c r="G1" s="82"/>
      <c r="H1" s="82"/>
      <c r="I1" s="83"/>
      <c r="J1" s="82"/>
      <c r="K1" s="82"/>
    </row>
    <row r="2" spans="2:11" s="62" customFormat="1" ht="13.2">
      <c r="B2" s="85" t="s">
        <v>0</v>
      </c>
      <c r="C2" s="86"/>
      <c r="D2" s="86"/>
      <c r="K2" s="63" t="s">
        <v>55</v>
      </c>
    </row>
    <row r="3" spans="2:11" s="62" customFormat="1" ht="4.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2:11" s="62" customFormat="1" ht="29.25" customHeight="1">
      <c r="B4" s="111" t="s">
        <v>5</v>
      </c>
      <c r="C4" s="111"/>
      <c r="D4" s="111"/>
      <c r="E4" s="112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89" customFormat="1" ht="16.5" customHeight="1">
      <c r="B5" s="87"/>
      <c r="C5" s="85" t="s">
        <v>8</v>
      </c>
      <c r="D5" s="87"/>
      <c r="E5" s="88" t="s">
        <v>13</v>
      </c>
      <c r="F5" s="67">
        <v>12588</v>
      </c>
      <c r="G5" s="68">
        <v>187031</v>
      </c>
      <c r="H5" s="68">
        <f>7345808689+320250100</f>
        <v>7666058789</v>
      </c>
      <c r="I5" s="69" t="s">
        <v>23</v>
      </c>
      <c r="J5" s="69" t="s">
        <v>23</v>
      </c>
      <c r="K5" s="69" t="s">
        <v>23</v>
      </c>
    </row>
    <row r="6" spans="2:11" s="89" customFormat="1" ht="16.5" customHeight="1">
      <c r="B6" s="87"/>
      <c r="C6" s="90"/>
      <c r="D6" s="87"/>
      <c r="E6" s="88" t="s">
        <v>14</v>
      </c>
      <c r="F6" s="67">
        <f>623984+2038</f>
        <v>626022</v>
      </c>
      <c r="G6" s="68">
        <f>973633+17228</f>
        <v>990861</v>
      </c>
      <c r="H6" s="68">
        <f>9713387626+211261360</f>
        <v>9924648986</v>
      </c>
      <c r="I6" s="69" t="s">
        <v>23</v>
      </c>
      <c r="J6" s="69" t="s">
        <v>23</v>
      </c>
      <c r="K6" s="69" t="s">
        <v>23</v>
      </c>
    </row>
    <row r="7" spans="2:11" s="89" customFormat="1" ht="16.5" customHeight="1">
      <c r="B7" s="87"/>
      <c r="C7" s="90"/>
      <c r="D7" s="87"/>
      <c r="E7" s="88" t="s">
        <v>15</v>
      </c>
      <c r="F7" s="67">
        <v>157070</v>
      </c>
      <c r="G7" s="68">
        <v>257467</v>
      </c>
      <c r="H7" s="68">
        <v>2029103914</v>
      </c>
      <c r="I7" s="69" t="s">
        <v>23</v>
      </c>
      <c r="J7" s="69" t="s">
        <v>23</v>
      </c>
      <c r="K7" s="69" t="s">
        <v>23</v>
      </c>
    </row>
    <row r="8" spans="2:11" s="89" customFormat="1" ht="16.5" customHeight="1">
      <c r="B8" s="87"/>
      <c r="C8" s="90"/>
      <c r="D8" s="87"/>
      <c r="E8" s="88" t="s">
        <v>16</v>
      </c>
      <c r="F8" s="67">
        <v>353918</v>
      </c>
      <c r="G8" s="70">
        <v>416216</v>
      </c>
      <c r="H8" s="68">
        <v>4075557383</v>
      </c>
      <c r="I8" s="69" t="s">
        <v>23</v>
      </c>
      <c r="J8" s="69" t="s">
        <v>23</v>
      </c>
      <c r="K8" s="69" t="s">
        <v>23</v>
      </c>
    </row>
    <row r="9" spans="2:11" s="89" customFormat="1" ht="16.5" customHeight="1">
      <c r="B9" s="87"/>
      <c r="C9" s="90"/>
      <c r="D9" s="87"/>
      <c r="E9" s="91" t="s">
        <v>22</v>
      </c>
      <c r="F9" s="67">
        <f>SUM(F5:F8)</f>
        <v>1149598</v>
      </c>
      <c r="G9" s="68">
        <f>SUM(G5:G8)</f>
        <v>1851575</v>
      </c>
      <c r="H9" s="68">
        <f>SUM(H5:H8)</f>
        <v>23695369072</v>
      </c>
      <c r="I9" s="68">
        <v>17320250578</v>
      </c>
      <c r="J9" s="68">
        <v>5467180793</v>
      </c>
      <c r="K9" s="68">
        <v>907937701</v>
      </c>
    </row>
    <row r="10" spans="2:11" s="89" customFormat="1" ht="16.5" customHeight="1">
      <c r="B10" s="88"/>
      <c r="C10" s="88" t="s">
        <v>9</v>
      </c>
      <c r="D10" s="88"/>
      <c r="E10" s="87"/>
      <c r="F10" s="67">
        <v>22124</v>
      </c>
      <c r="G10" s="69" t="s">
        <v>49</v>
      </c>
      <c r="H10" s="68">
        <v>195736666</v>
      </c>
      <c r="I10" s="68">
        <v>142990597</v>
      </c>
      <c r="J10" s="68">
        <v>417776159</v>
      </c>
      <c r="K10" s="68">
        <v>10969910</v>
      </c>
    </row>
    <row r="11" spans="2:11" s="89" customFormat="1" ht="16.5" customHeight="1">
      <c r="B11" s="101" t="s">
        <v>19</v>
      </c>
      <c r="C11" s="101"/>
      <c r="D11" s="101"/>
      <c r="E11" s="102"/>
      <c r="F11" s="67">
        <f t="shared" ref="F11:K11" si="0">F9+F10</f>
        <v>1171722</v>
      </c>
      <c r="G11" s="68">
        <f t="shared" si="0"/>
        <v>1851575</v>
      </c>
      <c r="H11" s="68">
        <f t="shared" si="0"/>
        <v>23891105738</v>
      </c>
      <c r="I11" s="68">
        <f t="shared" si="0"/>
        <v>17463241175</v>
      </c>
      <c r="J11" s="68">
        <f t="shared" si="0"/>
        <v>5884956952</v>
      </c>
      <c r="K11" s="68">
        <f t="shared" si="0"/>
        <v>918907611</v>
      </c>
    </row>
    <row r="12" spans="2:11" s="89" customFormat="1" ht="16.5" customHeight="1">
      <c r="C12" s="88" t="s">
        <v>10</v>
      </c>
      <c r="D12" s="88"/>
      <c r="F12" s="67">
        <v>221</v>
      </c>
      <c r="G12" s="69" t="s">
        <v>49</v>
      </c>
      <c r="H12" s="69" t="s">
        <v>49</v>
      </c>
      <c r="I12" s="68">
        <v>92756000</v>
      </c>
      <c r="J12" s="69" t="s">
        <v>23</v>
      </c>
      <c r="K12" s="69" t="s">
        <v>23</v>
      </c>
    </row>
    <row r="13" spans="2:11" s="89" customFormat="1" ht="16.5" customHeight="1">
      <c r="C13" s="88" t="s">
        <v>11</v>
      </c>
      <c r="D13" s="88"/>
      <c r="F13" s="67">
        <v>363</v>
      </c>
      <c r="G13" s="69" t="s">
        <v>49</v>
      </c>
      <c r="H13" s="69" t="s">
        <v>49</v>
      </c>
      <c r="I13" s="68">
        <v>18150000</v>
      </c>
      <c r="J13" s="69" t="s">
        <v>23</v>
      </c>
      <c r="K13" s="69" t="s">
        <v>23</v>
      </c>
    </row>
    <row r="14" spans="2:11" s="89" customFormat="1" ht="16.5" customHeight="1">
      <c r="C14" s="88" t="s">
        <v>12</v>
      </c>
      <c r="D14" s="88"/>
      <c r="F14" s="67">
        <v>38212</v>
      </c>
      <c r="G14" s="69" t="s">
        <v>23</v>
      </c>
      <c r="H14" s="69" t="s">
        <v>23</v>
      </c>
      <c r="I14" s="68">
        <f>2281241785+1975760</f>
        <v>2283217545</v>
      </c>
      <c r="J14" s="69" t="s">
        <v>23</v>
      </c>
      <c r="K14" s="69" t="s">
        <v>23</v>
      </c>
    </row>
    <row r="15" spans="2:11" s="89" customFormat="1" ht="16.5" customHeight="1">
      <c r="B15" s="103" t="s">
        <v>21</v>
      </c>
      <c r="C15" s="103"/>
      <c r="D15" s="103"/>
      <c r="E15" s="102"/>
      <c r="F15" s="67">
        <f>SUM(F12:F14)</f>
        <v>38796</v>
      </c>
      <c r="G15" s="69" t="s">
        <v>23</v>
      </c>
      <c r="H15" s="69" t="s">
        <v>23</v>
      </c>
      <c r="I15" s="68">
        <f>SUM(I12:I14)</f>
        <v>2394123545</v>
      </c>
      <c r="J15" s="69" t="s">
        <v>23</v>
      </c>
      <c r="K15" s="69" t="s">
        <v>23</v>
      </c>
    </row>
    <row r="16" spans="2:11" s="89" customFormat="1" ht="16.5" customHeight="1" thickBot="1">
      <c r="B16" s="104" t="s">
        <v>1</v>
      </c>
      <c r="C16" s="104"/>
      <c r="D16" s="104"/>
      <c r="E16" s="105"/>
      <c r="F16" s="78">
        <f>F11+F15</f>
        <v>1210518</v>
      </c>
      <c r="G16" s="79">
        <f>G11</f>
        <v>1851575</v>
      </c>
      <c r="H16" s="79">
        <f>H11</f>
        <v>23891105738</v>
      </c>
      <c r="I16" s="79">
        <f>I11+I15</f>
        <v>19857364720</v>
      </c>
      <c r="J16" s="79">
        <f>J11</f>
        <v>5884956952</v>
      </c>
      <c r="K16" s="79">
        <f>K11</f>
        <v>918907611</v>
      </c>
    </row>
    <row r="17" spans="2:11" s="62" customFormat="1" ht="4.5" customHeight="1"/>
    <row r="18" spans="2:11" s="62" customFormat="1" ht="4.5" customHeight="1"/>
    <row r="19" spans="2:11" s="62" customFormat="1" ht="12.75" customHeight="1">
      <c r="B19" s="92" t="s">
        <v>2</v>
      </c>
      <c r="C19" s="73"/>
      <c r="D19" s="73"/>
      <c r="E19" s="73"/>
      <c r="F19" s="73"/>
      <c r="K19" s="63" t="s">
        <v>54</v>
      </c>
    </row>
    <row r="20" spans="2:11" s="62" customFormat="1" ht="4.5" customHeight="1" thickBot="1"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2:11" s="62" customFormat="1" ht="26.4">
      <c r="B21" s="111" t="s">
        <v>5</v>
      </c>
      <c r="C21" s="111"/>
      <c r="D21" s="111"/>
      <c r="E21" s="112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89" customFormat="1" ht="16.5" customHeight="1">
      <c r="B22" s="87"/>
      <c r="C22" s="85" t="s">
        <v>8</v>
      </c>
      <c r="D22" s="87"/>
      <c r="E22" s="88" t="s">
        <v>13</v>
      </c>
      <c r="F22" s="67">
        <v>0</v>
      </c>
      <c r="G22" s="68">
        <v>0</v>
      </c>
      <c r="H22" s="68">
        <v>0</v>
      </c>
      <c r="I22" s="69" t="s">
        <v>23</v>
      </c>
      <c r="J22" s="69" t="s">
        <v>23</v>
      </c>
      <c r="K22" s="69" t="s">
        <v>23</v>
      </c>
    </row>
    <row r="23" spans="2:11" s="89" customFormat="1" ht="16.5" customHeight="1">
      <c r="B23" s="87"/>
      <c r="C23" s="90"/>
      <c r="D23" s="87"/>
      <c r="E23" s="88" t="s">
        <v>14</v>
      </c>
      <c r="F23" s="67">
        <f>9+1</f>
        <v>10</v>
      </c>
      <c r="G23" s="68">
        <f>16+1</f>
        <v>17</v>
      </c>
      <c r="H23" s="68">
        <f>113340+10280</f>
        <v>123620</v>
      </c>
      <c r="I23" s="69" t="s">
        <v>23</v>
      </c>
      <c r="J23" s="69" t="s">
        <v>23</v>
      </c>
      <c r="K23" s="69" t="s">
        <v>23</v>
      </c>
    </row>
    <row r="24" spans="2:11" s="89" customFormat="1" ht="16.5" customHeight="1">
      <c r="B24" s="87"/>
      <c r="C24" s="90"/>
      <c r="D24" s="87"/>
      <c r="E24" s="88" t="s">
        <v>15</v>
      </c>
      <c r="F24" s="67">
        <f>5+(-1)</f>
        <v>4</v>
      </c>
      <c r="G24" s="68">
        <f>13+(-1)</f>
        <v>12</v>
      </c>
      <c r="H24" s="68">
        <f>157230+(-13230)</f>
        <v>144000</v>
      </c>
      <c r="I24" s="69" t="s">
        <v>23</v>
      </c>
      <c r="J24" s="69" t="s">
        <v>23</v>
      </c>
      <c r="K24" s="69" t="s">
        <v>23</v>
      </c>
    </row>
    <row r="25" spans="2:11" s="89" customFormat="1" ht="16.5" customHeight="1">
      <c r="B25" s="87"/>
      <c r="C25" s="90"/>
      <c r="D25" s="87"/>
      <c r="E25" s="88" t="s">
        <v>16</v>
      </c>
      <c r="F25" s="67">
        <v>6</v>
      </c>
      <c r="G25" s="68">
        <v>7</v>
      </c>
      <c r="H25" s="68">
        <v>33500</v>
      </c>
      <c r="I25" s="69" t="s">
        <v>23</v>
      </c>
      <c r="J25" s="69" t="s">
        <v>23</v>
      </c>
      <c r="K25" s="69" t="s">
        <v>23</v>
      </c>
    </row>
    <row r="26" spans="2:11" s="89" customFormat="1" ht="16.5" customHeight="1">
      <c r="B26" s="87"/>
      <c r="C26" s="90"/>
      <c r="D26" s="87"/>
      <c r="E26" s="91" t="s">
        <v>22</v>
      </c>
      <c r="F26" s="67">
        <f>SUM(F22:F25)</f>
        <v>20</v>
      </c>
      <c r="G26" s="68">
        <f>SUM(G22:G25)</f>
        <v>36</v>
      </c>
      <c r="H26" s="68">
        <f>SUM(H22:H25)</f>
        <v>301120</v>
      </c>
      <c r="I26" s="68">
        <v>210784</v>
      </c>
      <c r="J26" s="68">
        <v>90336</v>
      </c>
      <c r="K26" s="68">
        <v>0</v>
      </c>
    </row>
    <row r="27" spans="2:11" s="89" customFormat="1" ht="16.5" customHeight="1">
      <c r="B27" s="88"/>
      <c r="C27" s="88" t="s">
        <v>9</v>
      </c>
      <c r="D27" s="88"/>
      <c r="E27" s="87"/>
      <c r="F27" s="67">
        <v>5</v>
      </c>
      <c r="G27" s="69" t="s">
        <v>23</v>
      </c>
      <c r="H27" s="68">
        <v>39610</v>
      </c>
      <c r="I27" s="68">
        <v>27727</v>
      </c>
      <c r="J27" s="68">
        <v>11883</v>
      </c>
      <c r="K27" s="68">
        <v>0</v>
      </c>
    </row>
    <row r="28" spans="2:11" s="89" customFormat="1" ht="16.5" customHeight="1">
      <c r="B28" s="101" t="s">
        <v>20</v>
      </c>
      <c r="C28" s="101"/>
      <c r="D28" s="101"/>
      <c r="E28" s="102"/>
      <c r="F28" s="67">
        <f>F26+F27</f>
        <v>25</v>
      </c>
      <c r="G28" s="68">
        <f>G26</f>
        <v>36</v>
      </c>
      <c r="H28" s="68">
        <f>H26+H27</f>
        <v>340730</v>
      </c>
      <c r="I28" s="68">
        <f>I26+I27</f>
        <v>238511</v>
      </c>
      <c r="J28" s="68">
        <f>J26+J27</f>
        <v>102219</v>
      </c>
      <c r="K28" s="68">
        <f>K26+K27</f>
        <v>0</v>
      </c>
    </row>
    <row r="29" spans="2:11" s="89" customFormat="1" ht="16.5" customHeight="1">
      <c r="C29" s="88" t="s">
        <v>10</v>
      </c>
      <c r="D29" s="88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89" customFormat="1" ht="16.5" customHeight="1">
      <c r="C30" s="88" t="s">
        <v>11</v>
      </c>
      <c r="D30" s="88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89" customFormat="1" ht="16.5" customHeight="1">
      <c r="C31" s="88" t="s">
        <v>12</v>
      </c>
      <c r="D31" s="88"/>
      <c r="F31" s="67">
        <v>0</v>
      </c>
      <c r="G31" s="69" t="s">
        <v>23</v>
      </c>
      <c r="H31" s="69" t="s">
        <v>23</v>
      </c>
      <c r="I31" s="68">
        <v>0</v>
      </c>
      <c r="J31" s="69" t="s">
        <v>23</v>
      </c>
      <c r="K31" s="69" t="s">
        <v>23</v>
      </c>
    </row>
    <row r="32" spans="2:11" s="89" customFormat="1" ht="16.5" customHeight="1">
      <c r="B32" s="103" t="s">
        <v>21</v>
      </c>
      <c r="C32" s="103"/>
      <c r="D32" s="103"/>
      <c r="E32" s="102"/>
      <c r="F32" s="67">
        <f>SUM(F29:F31)</f>
        <v>0</v>
      </c>
      <c r="G32" s="69" t="s">
        <v>23</v>
      </c>
      <c r="H32" s="69" t="s">
        <v>23</v>
      </c>
      <c r="I32" s="68">
        <f>SUM(I29:I31)</f>
        <v>0</v>
      </c>
      <c r="J32" s="69" t="s">
        <v>23</v>
      </c>
      <c r="K32" s="69" t="s">
        <v>23</v>
      </c>
    </row>
    <row r="33" spans="2:11" s="89" customFormat="1" ht="16.5" customHeight="1" thickBot="1">
      <c r="B33" s="104" t="s">
        <v>1</v>
      </c>
      <c r="C33" s="104"/>
      <c r="D33" s="104"/>
      <c r="E33" s="105"/>
      <c r="F33" s="78">
        <f>F28+F32</f>
        <v>25</v>
      </c>
      <c r="G33" s="79">
        <f>G28</f>
        <v>36</v>
      </c>
      <c r="H33" s="79">
        <f>H28</f>
        <v>340730</v>
      </c>
      <c r="I33" s="79">
        <f>I28+I32</f>
        <v>238511</v>
      </c>
      <c r="J33" s="79">
        <f>J28</f>
        <v>102219</v>
      </c>
      <c r="K33" s="79">
        <f>K28</f>
        <v>0</v>
      </c>
    </row>
    <row r="34" spans="2:11" s="62" customFormat="1" ht="4.5" customHeight="1"/>
    <row r="35" spans="2:11" s="62" customFormat="1" ht="13.2">
      <c r="B35" s="93" t="s">
        <v>26</v>
      </c>
      <c r="C35" s="92"/>
      <c r="D35" s="92"/>
      <c r="E35" s="92"/>
      <c r="G35" s="75"/>
    </row>
    <row r="36" spans="2:11" s="62" customFormat="1" ht="13.2"/>
    <row r="37" spans="2:11" s="62" customFormat="1" ht="13.2"/>
    <row r="38" spans="2:11" s="62" customFormat="1" ht="13.2"/>
    <row r="39" spans="2:11" s="62" customFormat="1" ht="13.2"/>
    <row r="40" spans="2:11" s="62" customFormat="1" ht="13.2"/>
    <row r="41" spans="2:11" s="62" customFormat="1" ht="13.2"/>
    <row r="42" spans="2:11" s="62" customFormat="1" ht="13.2"/>
    <row r="43" spans="2:11" s="62" customFormat="1" ht="13.2"/>
    <row r="44" spans="2:11" s="62" customFormat="1" ht="13.2"/>
    <row r="45" spans="2:11" s="62" customFormat="1" ht="13.2"/>
    <row r="46" spans="2:11" s="62" customFormat="1" ht="13.2"/>
    <row r="47" spans="2:11" s="62" customFormat="1" ht="13.2"/>
    <row r="48" spans="2:11" s="62" customFormat="1" ht="13.2"/>
    <row r="49" s="62" customFormat="1" ht="13.2"/>
    <row r="50" s="62" customFormat="1" ht="13.2"/>
    <row r="51" s="62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4" fitToHeight="0" orientation="portrait" r:id="rId1"/>
  <headerFooter alignWithMargins="0"/>
  <ignoredErrors>
    <ignoredError sqref="I33 G28 I16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  <pageSetUpPr fitToPage="1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G10" sqref="G10"/>
    </sheetView>
  </sheetViews>
  <sheetFormatPr defaultColWidth="8.59765625" defaultRowHeight="14.4"/>
  <cols>
    <col min="1" max="1" width="1.59765625" style="84" customWidth="1"/>
    <col min="2" max="2" width="2.796875" style="84" customWidth="1"/>
    <col min="3" max="3" width="2.796875" style="84" bestFit="1" customWidth="1"/>
    <col min="4" max="4" width="6.59765625" style="84" customWidth="1"/>
    <col min="5" max="5" width="14.296875" style="84" customWidth="1"/>
    <col min="6" max="6" width="13.69921875" style="84" bestFit="1" customWidth="1"/>
    <col min="7" max="7" width="11.19921875" style="84" customWidth="1"/>
    <col min="8" max="8" width="16.19921875" style="84" customWidth="1"/>
    <col min="9" max="9" width="17.296875" style="84" bestFit="1" customWidth="1"/>
    <col min="10" max="10" width="15.296875" style="84" customWidth="1"/>
    <col min="11" max="11" width="14.5" style="84" customWidth="1"/>
    <col min="12" max="16384" width="8.59765625" style="84"/>
  </cols>
  <sheetData>
    <row r="1" spans="2:11" ht="23.4">
      <c r="B1" s="82" t="s">
        <v>25</v>
      </c>
      <c r="C1" s="82"/>
      <c r="D1" s="82"/>
      <c r="E1" s="82"/>
      <c r="F1" s="82"/>
      <c r="G1" s="82"/>
      <c r="H1" s="82"/>
      <c r="I1" s="83"/>
      <c r="J1" s="82"/>
      <c r="K1" s="82"/>
    </row>
    <row r="2" spans="2:11" s="62" customFormat="1" ht="13.2">
      <c r="B2" s="85" t="s">
        <v>0</v>
      </c>
      <c r="C2" s="86"/>
      <c r="D2" s="86"/>
      <c r="K2" s="63" t="s">
        <v>53</v>
      </c>
    </row>
    <row r="3" spans="2:11" s="62" customFormat="1" ht="4.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2:11" s="62" customFormat="1" ht="29.25" customHeight="1">
      <c r="B4" s="111" t="s">
        <v>5</v>
      </c>
      <c r="C4" s="111"/>
      <c r="D4" s="111"/>
      <c r="E4" s="112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89" customFormat="1" ht="16.5" customHeight="1">
      <c r="B5" s="87"/>
      <c r="C5" s="85" t="s">
        <v>8</v>
      </c>
      <c r="D5" s="87"/>
      <c r="E5" s="88" t="s">
        <v>13</v>
      </c>
      <c r="F5" s="67">
        <v>12737</v>
      </c>
      <c r="G5" s="68">
        <v>189442</v>
      </c>
      <c r="H5" s="68">
        <f>7492224142+320251163</f>
        <v>7812475305</v>
      </c>
      <c r="I5" s="69" t="s">
        <v>23</v>
      </c>
      <c r="J5" s="69" t="s">
        <v>23</v>
      </c>
      <c r="K5" s="69" t="s">
        <v>23</v>
      </c>
    </row>
    <row r="6" spans="2:11" s="89" customFormat="1" ht="16.5" customHeight="1">
      <c r="B6" s="87"/>
      <c r="C6" s="90"/>
      <c r="D6" s="87"/>
      <c r="E6" s="88" t="s">
        <v>14</v>
      </c>
      <c r="F6" s="67">
        <f>677813+1858</f>
        <v>679671</v>
      </c>
      <c r="G6" s="68">
        <f>1070710+15674</f>
        <v>1086384</v>
      </c>
      <c r="H6" s="68">
        <f>10033293419+193354630</f>
        <v>10226648049</v>
      </c>
      <c r="I6" s="69" t="s">
        <v>23</v>
      </c>
      <c r="J6" s="69" t="s">
        <v>23</v>
      </c>
      <c r="K6" s="69" t="s">
        <v>23</v>
      </c>
    </row>
    <row r="7" spans="2:11" s="89" customFormat="1" ht="16.5" customHeight="1">
      <c r="B7" s="87"/>
      <c r="C7" s="90"/>
      <c r="D7" s="87"/>
      <c r="E7" s="88" t="s">
        <v>15</v>
      </c>
      <c r="F7" s="67">
        <v>176089</v>
      </c>
      <c r="G7" s="68">
        <v>286132</v>
      </c>
      <c r="H7" s="68">
        <v>2122392385</v>
      </c>
      <c r="I7" s="69" t="s">
        <v>23</v>
      </c>
      <c r="J7" s="69" t="s">
        <v>23</v>
      </c>
      <c r="K7" s="69" t="s">
        <v>23</v>
      </c>
    </row>
    <row r="8" spans="2:11" s="89" customFormat="1" ht="16.5" customHeight="1">
      <c r="B8" s="87"/>
      <c r="C8" s="90"/>
      <c r="D8" s="87"/>
      <c r="E8" s="88" t="s">
        <v>16</v>
      </c>
      <c r="F8" s="67">
        <v>372978</v>
      </c>
      <c r="G8" s="70">
        <v>446486</v>
      </c>
      <c r="H8" s="68">
        <v>4283334941</v>
      </c>
      <c r="I8" s="69" t="s">
        <v>23</v>
      </c>
      <c r="J8" s="69" t="s">
        <v>23</v>
      </c>
      <c r="K8" s="69" t="s">
        <v>23</v>
      </c>
    </row>
    <row r="9" spans="2:11" s="89" customFormat="1" ht="16.5" customHeight="1">
      <c r="B9" s="87"/>
      <c r="C9" s="90"/>
      <c r="D9" s="87"/>
      <c r="E9" s="91" t="s">
        <v>22</v>
      </c>
      <c r="F9" s="67">
        <f>SUM(F5:F8)</f>
        <v>1241475</v>
      </c>
      <c r="G9" s="68">
        <f>SUM(G5:G8)</f>
        <v>2008444</v>
      </c>
      <c r="H9" s="68">
        <f>SUM(H5:H8)</f>
        <v>24444850680</v>
      </c>
      <c r="I9" s="68">
        <v>17816881140</v>
      </c>
      <c r="J9" s="68">
        <v>5726516548</v>
      </c>
      <c r="K9" s="68">
        <v>901452992</v>
      </c>
    </row>
    <row r="10" spans="2:11" s="89" customFormat="1" ht="16.5" customHeight="1">
      <c r="B10" s="88"/>
      <c r="C10" s="88" t="s">
        <v>9</v>
      </c>
      <c r="D10" s="88"/>
      <c r="E10" s="87"/>
      <c r="F10" s="67">
        <f>27229+34</f>
        <v>27263</v>
      </c>
      <c r="G10" s="69" t="s">
        <v>49</v>
      </c>
      <c r="H10" s="68">
        <v>224922759</v>
      </c>
      <c r="I10" s="68">
        <f>163889834+244000</f>
        <v>164133834</v>
      </c>
      <c r="J10" s="68">
        <f>49209271-244000</f>
        <v>48965271</v>
      </c>
      <c r="K10" s="68">
        <v>11823654</v>
      </c>
    </row>
    <row r="11" spans="2:11" s="89" customFormat="1" ht="16.5" customHeight="1">
      <c r="B11" s="101" t="s">
        <v>19</v>
      </c>
      <c r="C11" s="101"/>
      <c r="D11" s="101"/>
      <c r="E11" s="102"/>
      <c r="F11" s="67">
        <f t="shared" ref="F11:K11" si="0">F9+F10</f>
        <v>1268738</v>
      </c>
      <c r="G11" s="68">
        <f t="shared" si="0"/>
        <v>2008444</v>
      </c>
      <c r="H11" s="68">
        <f t="shared" si="0"/>
        <v>24669773439</v>
      </c>
      <c r="I11" s="68">
        <f t="shared" si="0"/>
        <v>17981014974</v>
      </c>
      <c r="J11" s="68">
        <f t="shared" si="0"/>
        <v>5775481819</v>
      </c>
      <c r="K11" s="68">
        <f t="shared" si="0"/>
        <v>913276646</v>
      </c>
    </row>
    <row r="12" spans="2:11" s="89" customFormat="1" ht="16.5" customHeight="1">
      <c r="C12" s="88" t="s">
        <v>10</v>
      </c>
      <c r="D12" s="88"/>
      <c r="F12" s="67">
        <v>237</v>
      </c>
      <c r="G12" s="69" t="s">
        <v>49</v>
      </c>
      <c r="H12" s="69" t="s">
        <v>49</v>
      </c>
      <c r="I12" s="68">
        <v>99316000</v>
      </c>
      <c r="J12" s="69" t="s">
        <v>23</v>
      </c>
      <c r="K12" s="69" t="s">
        <v>23</v>
      </c>
    </row>
    <row r="13" spans="2:11" s="89" customFormat="1" ht="16.5" customHeight="1">
      <c r="C13" s="88" t="s">
        <v>11</v>
      </c>
      <c r="D13" s="88"/>
      <c r="F13" s="67">
        <v>365</v>
      </c>
      <c r="G13" s="69" t="s">
        <v>49</v>
      </c>
      <c r="H13" s="69" t="s">
        <v>49</v>
      </c>
      <c r="I13" s="68">
        <v>18250000</v>
      </c>
      <c r="J13" s="69" t="s">
        <v>23</v>
      </c>
      <c r="K13" s="69" t="s">
        <v>23</v>
      </c>
    </row>
    <row r="14" spans="2:11" s="89" customFormat="1" ht="16.5" customHeight="1">
      <c r="C14" s="88" t="s">
        <v>12</v>
      </c>
      <c r="D14" s="88"/>
      <c r="F14" s="67">
        <f>38318+49</f>
        <v>38367</v>
      </c>
      <c r="G14" s="69" t="s">
        <v>23</v>
      </c>
      <c r="H14" s="69" t="s">
        <v>23</v>
      </c>
      <c r="I14" s="68">
        <f>2299524676+2522714</f>
        <v>2302047390</v>
      </c>
      <c r="J14" s="69" t="s">
        <v>23</v>
      </c>
      <c r="K14" s="69" t="s">
        <v>23</v>
      </c>
    </row>
    <row r="15" spans="2:11" s="89" customFormat="1" ht="16.5" customHeight="1">
      <c r="B15" s="103" t="s">
        <v>21</v>
      </c>
      <c r="C15" s="103"/>
      <c r="D15" s="103"/>
      <c r="E15" s="102"/>
      <c r="F15" s="67">
        <f>SUM(F12:F14)</f>
        <v>38969</v>
      </c>
      <c r="G15" s="69" t="s">
        <v>23</v>
      </c>
      <c r="H15" s="69" t="s">
        <v>23</v>
      </c>
      <c r="I15" s="68">
        <f>SUM(I12:I14)</f>
        <v>2419613390</v>
      </c>
      <c r="J15" s="69" t="s">
        <v>23</v>
      </c>
      <c r="K15" s="69" t="s">
        <v>23</v>
      </c>
    </row>
    <row r="16" spans="2:11" s="89" customFormat="1" ht="16.5" customHeight="1" thickBot="1">
      <c r="B16" s="104" t="s">
        <v>1</v>
      </c>
      <c r="C16" s="104"/>
      <c r="D16" s="104"/>
      <c r="E16" s="105"/>
      <c r="F16" s="78">
        <f>F11+F15</f>
        <v>1307707</v>
      </c>
      <c r="G16" s="79">
        <f>G11</f>
        <v>2008444</v>
      </c>
      <c r="H16" s="79">
        <f>H11</f>
        <v>24669773439</v>
      </c>
      <c r="I16" s="79">
        <f>I11+I15</f>
        <v>20400628364</v>
      </c>
      <c r="J16" s="79">
        <f>J11</f>
        <v>5775481819</v>
      </c>
      <c r="K16" s="79">
        <f>K11</f>
        <v>913276646</v>
      </c>
    </row>
    <row r="17" spans="2:11" s="62" customFormat="1" ht="4.5" customHeight="1"/>
    <row r="18" spans="2:11" s="62" customFormat="1" ht="4.5" customHeight="1"/>
    <row r="19" spans="2:11" s="62" customFormat="1" ht="12.75" customHeight="1">
      <c r="B19" s="92" t="s">
        <v>2</v>
      </c>
      <c r="C19" s="73"/>
      <c r="D19" s="73"/>
      <c r="E19" s="73"/>
      <c r="F19" s="73"/>
      <c r="K19" s="63" t="s">
        <v>52</v>
      </c>
    </row>
    <row r="20" spans="2:11" s="62" customFormat="1" ht="4.5" customHeight="1" thickBot="1"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2:11" s="62" customFormat="1" ht="26.4">
      <c r="B21" s="111" t="s">
        <v>5</v>
      </c>
      <c r="C21" s="111"/>
      <c r="D21" s="111"/>
      <c r="E21" s="112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89" customFormat="1" ht="16.5" customHeight="1">
      <c r="B22" s="87"/>
      <c r="C22" s="85" t="s">
        <v>8</v>
      </c>
      <c r="D22" s="87"/>
      <c r="E22" s="88" t="s">
        <v>13</v>
      </c>
      <c r="F22" s="67">
        <f>7+2</f>
        <v>9</v>
      </c>
      <c r="G22" s="68">
        <f>65+9</f>
        <v>74</v>
      </c>
      <c r="H22" s="68">
        <f>2919500+323450+103478+8570</f>
        <v>3354998</v>
      </c>
      <c r="I22" s="69" t="s">
        <v>23</v>
      </c>
      <c r="J22" s="69" t="s">
        <v>23</v>
      </c>
      <c r="K22" s="69" t="s">
        <v>23</v>
      </c>
    </row>
    <row r="23" spans="2:11" s="89" customFormat="1" ht="16.5" customHeight="1">
      <c r="B23" s="87"/>
      <c r="C23" s="90"/>
      <c r="D23" s="87"/>
      <c r="E23" s="88" t="s">
        <v>14</v>
      </c>
      <c r="F23" s="67">
        <f>847+43</f>
        <v>890</v>
      </c>
      <c r="G23" s="68">
        <f>1485+49</f>
        <v>1534</v>
      </c>
      <c r="H23" s="68">
        <f>8865220+335850</f>
        <v>9201070</v>
      </c>
      <c r="I23" s="69" t="s">
        <v>23</v>
      </c>
      <c r="J23" s="69" t="s">
        <v>23</v>
      </c>
      <c r="K23" s="69" t="s">
        <v>23</v>
      </c>
    </row>
    <row r="24" spans="2:11" s="89" customFormat="1" ht="16.5" customHeight="1">
      <c r="B24" s="87"/>
      <c r="C24" s="90"/>
      <c r="D24" s="87"/>
      <c r="E24" s="88" t="s">
        <v>15</v>
      </c>
      <c r="F24" s="67">
        <f>215+13</f>
        <v>228</v>
      </c>
      <c r="G24" s="68">
        <f>344+17</f>
        <v>361</v>
      </c>
      <c r="H24" s="68">
        <f>2517510+170990</f>
        <v>2688500</v>
      </c>
      <c r="I24" s="69" t="s">
        <v>23</v>
      </c>
      <c r="J24" s="69" t="s">
        <v>23</v>
      </c>
      <c r="K24" s="69" t="s">
        <v>23</v>
      </c>
    </row>
    <row r="25" spans="2:11" s="89" customFormat="1" ht="16.5" customHeight="1">
      <c r="B25" s="87"/>
      <c r="C25" s="90"/>
      <c r="D25" s="87"/>
      <c r="E25" s="88" t="s">
        <v>16</v>
      </c>
      <c r="F25" s="67">
        <f>513+32</f>
        <v>545</v>
      </c>
      <c r="G25" s="68">
        <f>608+34</f>
        <v>642</v>
      </c>
      <c r="H25" s="68">
        <f>4677770+162510</f>
        <v>4840280</v>
      </c>
      <c r="I25" s="69" t="s">
        <v>23</v>
      </c>
      <c r="J25" s="69" t="s">
        <v>23</v>
      </c>
      <c r="K25" s="69" t="s">
        <v>23</v>
      </c>
    </row>
    <row r="26" spans="2:11" s="89" customFormat="1" ht="16.5" customHeight="1">
      <c r="B26" s="87"/>
      <c r="C26" s="90"/>
      <c r="D26" s="87"/>
      <c r="E26" s="91" t="s">
        <v>22</v>
      </c>
      <c r="F26" s="67">
        <f>SUM(F22:F25)</f>
        <v>1672</v>
      </c>
      <c r="G26" s="68">
        <f>SUM(G22:G25)</f>
        <v>2611</v>
      </c>
      <c r="H26" s="68">
        <f>SUM(H22:H25)</f>
        <v>20084848</v>
      </c>
      <c r="I26" s="68">
        <v>14018678</v>
      </c>
      <c r="J26" s="68">
        <v>5394411</v>
      </c>
      <c r="K26" s="68">
        <v>671759</v>
      </c>
    </row>
    <row r="27" spans="2:11" s="89" customFormat="1" ht="16.5" customHeight="1">
      <c r="B27" s="88"/>
      <c r="C27" s="88" t="s">
        <v>9</v>
      </c>
      <c r="D27" s="88"/>
      <c r="E27" s="87"/>
      <c r="F27" s="67">
        <v>34</v>
      </c>
      <c r="G27" s="69" t="s">
        <v>23</v>
      </c>
      <c r="H27" s="68">
        <v>291340</v>
      </c>
      <c r="I27" s="68">
        <v>203935</v>
      </c>
      <c r="J27" s="68">
        <v>87405</v>
      </c>
      <c r="K27" s="68">
        <v>0</v>
      </c>
    </row>
    <row r="28" spans="2:11" s="89" customFormat="1" ht="16.5" customHeight="1">
      <c r="B28" s="101" t="s">
        <v>20</v>
      </c>
      <c r="C28" s="101"/>
      <c r="D28" s="101"/>
      <c r="E28" s="102"/>
      <c r="F28" s="67">
        <f>F26+F27</f>
        <v>1706</v>
      </c>
      <c r="G28" s="68">
        <f>G26</f>
        <v>2611</v>
      </c>
      <c r="H28" s="68">
        <f>H26+H27</f>
        <v>20376188</v>
      </c>
      <c r="I28" s="68">
        <f>I26+I27</f>
        <v>14222613</v>
      </c>
      <c r="J28" s="68">
        <f>J26+J27</f>
        <v>5481816</v>
      </c>
      <c r="K28" s="68">
        <f>K26+K27</f>
        <v>671759</v>
      </c>
    </row>
    <row r="29" spans="2:11" s="89" customFormat="1" ht="16.5" customHeight="1">
      <c r="C29" s="88" t="s">
        <v>10</v>
      </c>
      <c r="D29" s="88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89" customFormat="1" ht="16.5" customHeight="1">
      <c r="C30" s="88" t="s">
        <v>11</v>
      </c>
      <c r="D30" s="88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89" customFormat="1" ht="16.5" customHeight="1">
      <c r="C31" s="88" t="s">
        <v>12</v>
      </c>
      <c r="D31" s="88"/>
      <c r="F31" s="67">
        <v>15</v>
      </c>
      <c r="G31" s="69" t="s">
        <v>23</v>
      </c>
      <c r="H31" s="69" t="s">
        <v>23</v>
      </c>
      <c r="I31" s="68">
        <v>1024746</v>
      </c>
      <c r="J31" s="69" t="s">
        <v>23</v>
      </c>
      <c r="K31" s="69" t="s">
        <v>23</v>
      </c>
    </row>
    <row r="32" spans="2:11" s="89" customFormat="1" ht="16.5" customHeight="1">
      <c r="B32" s="103" t="s">
        <v>21</v>
      </c>
      <c r="C32" s="103"/>
      <c r="D32" s="103"/>
      <c r="E32" s="102"/>
      <c r="F32" s="67">
        <f>SUM(F29:F31)</f>
        <v>15</v>
      </c>
      <c r="G32" s="69" t="s">
        <v>23</v>
      </c>
      <c r="H32" s="69" t="s">
        <v>23</v>
      </c>
      <c r="I32" s="68">
        <f>SUM(I29:I31)</f>
        <v>1024746</v>
      </c>
      <c r="J32" s="69" t="s">
        <v>23</v>
      </c>
      <c r="K32" s="69" t="s">
        <v>23</v>
      </c>
    </row>
    <row r="33" spans="2:11" s="89" customFormat="1" ht="16.5" customHeight="1" thickBot="1">
      <c r="B33" s="104" t="s">
        <v>1</v>
      </c>
      <c r="C33" s="104"/>
      <c r="D33" s="104"/>
      <c r="E33" s="105"/>
      <c r="F33" s="78">
        <f>F28+F32</f>
        <v>1721</v>
      </c>
      <c r="G33" s="79">
        <f>G28</f>
        <v>2611</v>
      </c>
      <c r="H33" s="79">
        <f>H28</f>
        <v>20376188</v>
      </c>
      <c r="I33" s="79">
        <f>I28+I32</f>
        <v>15247359</v>
      </c>
      <c r="J33" s="79">
        <f>J28</f>
        <v>5481816</v>
      </c>
      <c r="K33" s="79">
        <f>K28</f>
        <v>671759</v>
      </c>
    </row>
    <row r="34" spans="2:11" s="62" customFormat="1" ht="4.5" customHeight="1"/>
    <row r="35" spans="2:11" s="62" customFormat="1" ht="13.2">
      <c r="B35" s="93" t="s">
        <v>26</v>
      </c>
      <c r="C35" s="92"/>
      <c r="D35" s="92"/>
      <c r="E35" s="92"/>
      <c r="G35" s="75"/>
    </row>
    <row r="36" spans="2:11" s="62" customFormat="1" ht="13.2"/>
    <row r="37" spans="2:11" s="62" customFormat="1" ht="13.2"/>
    <row r="38" spans="2:11" s="62" customFormat="1" ht="13.2"/>
    <row r="39" spans="2:11" s="62" customFormat="1" ht="13.2"/>
    <row r="40" spans="2:11" s="62" customFormat="1" ht="13.2"/>
    <row r="41" spans="2:11" s="62" customFormat="1" ht="13.2"/>
    <row r="42" spans="2:11" s="62" customFormat="1" ht="13.2"/>
    <row r="43" spans="2:11" s="62" customFormat="1" ht="13.2"/>
    <row r="44" spans="2:11" s="62" customFormat="1" ht="13.2"/>
    <row r="45" spans="2:11" s="62" customFormat="1" ht="13.2"/>
    <row r="46" spans="2:11" s="62" customFormat="1" ht="13.2"/>
    <row r="47" spans="2:11" s="62" customFormat="1" ht="13.2"/>
    <row r="48" spans="2:11" s="62" customFormat="1" ht="13.2"/>
    <row r="49" s="62" customFormat="1" ht="13.2"/>
    <row r="50" s="62" customFormat="1" ht="13.2"/>
    <row r="51" s="62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4" fitToHeight="0" orientation="portrait" r:id="rId1"/>
  <headerFooter alignWithMargins="0"/>
  <ignoredErrors>
    <ignoredError sqref="I33 G28 I16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H22" sqref="H22"/>
    </sheetView>
  </sheetViews>
  <sheetFormatPr defaultColWidth="8.59765625" defaultRowHeight="14.4"/>
  <cols>
    <col min="1" max="1" width="1.59765625" style="84" customWidth="1"/>
    <col min="2" max="2" width="2.796875" style="84" customWidth="1"/>
    <col min="3" max="3" width="2.796875" style="84" bestFit="1" customWidth="1"/>
    <col min="4" max="4" width="6.59765625" style="84" customWidth="1"/>
    <col min="5" max="5" width="14.296875" style="84" customWidth="1"/>
    <col min="6" max="6" width="13.69921875" style="84" bestFit="1" customWidth="1"/>
    <col min="7" max="7" width="11.19921875" style="84" customWidth="1"/>
    <col min="8" max="8" width="16.19921875" style="84" customWidth="1"/>
    <col min="9" max="9" width="17.296875" style="84" bestFit="1" customWidth="1"/>
    <col min="10" max="10" width="15.296875" style="84" customWidth="1"/>
    <col min="11" max="11" width="14.5" style="84" customWidth="1"/>
    <col min="12" max="16384" width="8.59765625" style="84"/>
  </cols>
  <sheetData>
    <row r="1" spans="2:11" ht="23.4">
      <c r="B1" s="82" t="s">
        <v>25</v>
      </c>
      <c r="C1" s="82"/>
      <c r="D1" s="82"/>
      <c r="E1" s="82"/>
      <c r="F1" s="82"/>
      <c r="G1" s="82"/>
      <c r="H1" s="82"/>
      <c r="I1" s="83"/>
      <c r="J1" s="82"/>
      <c r="K1" s="82"/>
    </row>
    <row r="2" spans="2:11" s="62" customFormat="1" ht="13.2">
      <c r="B2" s="85" t="s">
        <v>0</v>
      </c>
      <c r="C2" s="86"/>
      <c r="D2" s="86"/>
      <c r="K2" s="63" t="s">
        <v>52</v>
      </c>
    </row>
    <row r="3" spans="2:11" s="62" customFormat="1" ht="4.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2:11" s="62" customFormat="1" ht="29.25" customHeight="1">
      <c r="B4" s="111" t="s">
        <v>5</v>
      </c>
      <c r="C4" s="111"/>
      <c r="D4" s="111"/>
      <c r="E4" s="112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89" customFormat="1" ht="16.5" customHeight="1">
      <c r="B5" s="87"/>
      <c r="C5" s="85" t="s">
        <v>8</v>
      </c>
      <c r="D5" s="87"/>
      <c r="E5" s="88" t="s">
        <v>13</v>
      </c>
      <c r="F5" s="67">
        <v>12558</v>
      </c>
      <c r="G5" s="68">
        <v>184559</v>
      </c>
      <c r="H5" s="68">
        <f>7272129478+308245613</f>
        <v>7580375091</v>
      </c>
      <c r="I5" s="69" t="s">
        <v>23</v>
      </c>
      <c r="J5" s="69" t="s">
        <v>23</v>
      </c>
      <c r="K5" s="69" t="s">
        <v>23</v>
      </c>
    </row>
    <row r="6" spans="2:11" s="89" customFormat="1" ht="16.5" customHeight="1">
      <c r="B6" s="87"/>
      <c r="C6" s="90"/>
      <c r="D6" s="87"/>
      <c r="E6" s="88" t="s">
        <v>14</v>
      </c>
      <c r="F6" s="67">
        <f>692689+1741</f>
        <v>694430</v>
      </c>
      <c r="G6" s="68">
        <f>1119479+14447</f>
        <v>1133926</v>
      </c>
      <c r="H6" s="68">
        <f>10139968706+170235100</f>
        <v>10310203806</v>
      </c>
      <c r="I6" s="69" t="s">
        <v>23</v>
      </c>
      <c r="J6" s="69" t="s">
        <v>23</v>
      </c>
      <c r="K6" s="69" t="s">
        <v>23</v>
      </c>
    </row>
    <row r="7" spans="2:11" s="89" customFormat="1" ht="16.5" customHeight="1">
      <c r="B7" s="87"/>
      <c r="C7" s="90"/>
      <c r="D7" s="87"/>
      <c r="E7" s="88" t="s">
        <v>15</v>
      </c>
      <c r="F7" s="67">
        <v>174545</v>
      </c>
      <c r="G7" s="68">
        <v>292195</v>
      </c>
      <c r="H7" s="68">
        <v>2101481598</v>
      </c>
      <c r="I7" s="69" t="s">
        <v>23</v>
      </c>
      <c r="J7" s="69" t="s">
        <v>23</v>
      </c>
      <c r="K7" s="69" t="s">
        <v>23</v>
      </c>
    </row>
    <row r="8" spans="2:11" s="89" customFormat="1" ht="16.5" customHeight="1">
      <c r="B8" s="87"/>
      <c r="C8" s="90"/>
      <c r="D8" s="87"/>
      <c r="E8" s="88" t="s">
        <v>16</v>
      </c>
      <c r="F8" s="67">
        <v>372602</v>
      </c>
      <c r="G8" s="70">
        <v>450215</v>
      </c>
      <c r="H8" s="68">
        <v>4246808789</v>
      </c>
      <c r="I8" s="69" t="s">
        <v>23</v>
      </c>
      <c r="J8" s="69" t="s">
        <v>23</v>
      </c>
      <c r="K8" s="69" t="s">
        <v>23</v>
      </c>
    </row>
    <row r="9" spans="2:11" s="89" customFormat="1" ht="16.5" customHeight="1">
      <c r="B9" s="87"/>
      <c r="C9" s="90"/>
      <c r="D9" s="87"/>
      <c r="E9" s="91" t="s">
        <v>22</v>
      </c>
      <c r="F9" s="67">
        <f>SUM(F5:F8)</f>
        <v>1254135</v>
      </c>
      <c r="G9" s="68">
        <f>SUM(G5:G8)</f>
        <v>2060895</v>
      </c>
      <c r="H9" s="68">
        <f>SUM(H5:H8)</f>
        <v>24238869284</v>
      </c>
      <c r="I9" s="68">
        <v>17624554128</v>
      </c>
      <c r="J9" s="68">
        <v>5642877231</v>
      </c>
      <c r="K9" s="68">
        <v>971437925</v>
      </c>
    </row>
    <row r="10" spans="2:11" s="89" customFormat="1" ht="16.5" customHeight="1">
      <c r="B10" s="88"/>
      <c r="C10" s="88" t="s">
        <v>9</v>
      </c>
      <c r="D10" s="88"/>
      <c r="E10" s="87"/>
      <c r="F10" s="67">
        <f>28360+20</f>
        <v>28380</v>
      </c>
      <c r="G10" s="69" t="s">
        <v>49</v>
      </c>
      <c r="H10" s="68">
        <v>235093418</v>
      </c>
      <c r="I10" s="68">
        <f>170937352+150750</f>
        <v>171088102</v>
      </c>
      <c r="J10" s="68">
        <f>51180356-150750</f>
        <v>51029606</v>
      </c>
      <c r="K10" s="68">
        <v>12975710</v>
      </c>
    </row>
    <row r="11" spans="2:11" s="89" customFormat="1" ht="16.5" customHeight="1">
      <c r="B11" s="101" t="s">
        <v>19</v>
      </c>
      <c r="C11" s="101"/>
      <c r="D11" s="101"/>
      <c r="E11" s="102"/>
      <c r="F11" s="67">
        <f t="shared" ref="F11:K11" si="0">F9+F10</f>
        <v>1282515</v>
      </c>
      <c r="G11" s="68">
        <f t="shared" si="0"/>
        <v>2060895</v>
      </c>
      <c r="H11" s="68">
        <f t="shared" si="0"/>
        <v>24473962702</v>
      </c>
      <c r="I11" s="68">
        <f t="shared" si="0"/>
        <v>17795642230</v>
      </c>
      <c r="J11" s="68">
        <f t="shared" si="0"/>
        <v>5693906837</v>
      </c>
      <c r="K11" s="68">
        <f t="shared" si="0"/>
        <v>984413635</v>
      </c>
    </row>
    <row r="12" spans="2:11" s="89" customFormat="1" ht="16.5" customHeight="1">
      <c r="C12" s="88" t="s">
        <v>10</v>
      </c>
      <c r="D12" s="88"/>
      <c r="F12" s="67">
        <v>245</v>
      </c>
      <c r="G12" s="69" t="s">
        <v>49</v>
      </c>
      <c r="H12" s="69" t="s">
        <v>49</v>
      </c>
      <c r="I12" s="68">
        <v>102272000</v>
      </c>
      <c r="J12" s="69" t="s">
        <v>23</v>
      </c>
      <c r="K12" s="69" t="s">
        <v>23</v>
      </c>
    </row>
    <row r="13" spans="2:11" s="89" customFormat="1" ht="16.5" customHeight="1">
      <c r="C13" s="88" t="s">
        <v>11</v>
      </c>
      <c r="D13" s="88"/>
      <c r="F13" s="67">
        <v>378</v>
      </c>
      <c r="G13" s="69" t="s">
        <v>49</v>
      </c>
      <c r="H13" s="69" t="s">
        <v>49</v>
      </c>
      <c r="I13" s="68">
        <v>18900000</v>
      </c>
      <c r="J13" s="69" t="s">
        <v>23</v>
      </c>
      <c r="K13" s="69" t="s">
        <v>23</v>
      </c>
    </row>
    <row r="14" spans="2:11" s="89" customFormat="1" ht="16.5" customHeight="1">
      <c r="C14" s="88" t="s">
        <v>12</v>
      </c>
      <c r="D14" s="88"/>
      <c r="F14" s="67">
        <f>37099+17</f>
        <v>37116</v>
      </c>
      <c r="G14" s="69" t="s">
        <v>23</v>
      </c>
      <c r="H14" s="69" t="s">
        <v>23</v>
      </c>
      <c r="I14" s="68">
        <f>2195533406+1756380</f>
        <v>2197289786</v>
      </c>
      <c r="J14" s="69" t="s">
        <v>23</v>
      </c>
      <c r="K14" s="69" t="s">
        <v>23</v>
      </c>
    </row>
    <row r="15" spans="2:11" s="89" customFormat="1" ht="16.5" customHeight="1">
      <c r="B15" s="103" t="s">
        <v>21</v>
      </c>
      <c r="C15" s="103"/>
      <c r="D15" s="103"/>
      <c r="E15" s="102"/>
      <c r="F15" s="67">
        <f>SUM(F12:F14)</f>
        <v>37739</v>
      </c>
      <c r="G15" s="69" t="s">
        <v>23</v>
      </c>
      <c r="H15" s="69" t="s">
        <v>23</v>
      </c>
      <c r="I15" s="68">
        <f>SUM(I12:I14)</f>
        <v>2318461786</v>
      </c>
      <c r="J15" s="69" t="s">
        <v>23</v>
      </c>
      <c r="K15" s="69" t="s">
        <v>23</v>
      </c>
    </row>
    <row r="16" spans="2:11" s="89" customFormat="1" ht="16.5" customHeight="1" thickBot="1">
      <c r="B16" s="104" t="s">
        <v>1</v>
      </c>
      <c r="C16" s="104"/>
      <c r="D16" s="104"/>
      <c r="E16" s="105"/>
      <c r="F16" s="78">
        <f>F11+F15</f>
        <v>1320254</v>
      </c>
      <c r="G16" s="79">
        <f>G11</f>
        <v>2060895</v>
      </c>
      <c r="H16" s="79">
        <f>H11</f>
        <v>24473962702</v>
      </c>
      <c r="I16" s="79">
        <f>I11+I15</f>
        <v>20114104016</v>
      </c>
      <c r="J16" s="79">
        <f>J11</f>
        <v>5693906837</v>
      </c>
      <c r="K16" s="79">
        <f>K11</f>
        <v>984413635</v>
      </c>
    </row>
    <row r="17" spans="2:11" s="62" customFormat="1" ht="4.5" customHeight="1"/>
    <row r="18" spans="2:11" s="62" customFormat="1" ht="4.5" customHeight="1"/>
    <row r="19" spans="2:11" s="62" customFormat="1" ht="12.75" customHeight="1">
      <c r="B19" s="92" t="s">
        <v>2</v>
      </c>
      <c r="C19" s="73"/>
      <c r="D19" s="73"/>
      <c r="E19" s="73"/>
      <c r="F19" s="73"/>
      <c r="K19" s="63" t="s">
        <v>52</v>
      </c>
    </row>
    <row r="20" spans="2:11" s="62" customFormat="1" ht="4.5" customHeight="1" thickBot="1"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2:11" s="62" customFormat="1" ht="26.4">
      <c r="B21" s="111" t="s">
        <v>5</v>
      </c>
      <c r="C21" s="111"/>
      <c r="D21" s="111"/>
      <c r="E21" s="112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89" customFormat="1" ht="16.5" customHeight="1">
      <c r="B22" s="87"/>
      <c r="C22" s="85" t="s">
        <v>8</v>
      </c>
      <c r="D22" s="87"/>
      <c r="E22" s="88" t="s">
        <v>13</v>
      </c>
      <c r="F22" s="67">
        <f>81+14</f>
        <v>95</v>
      </c>
      <c r="G22" s="68">
        <f>1407+330</f>
        <v>1737</v>
      </c>
      <c r="H22" s="68">
        <f>50299830+8383620+2462421+587166</f>
        <v>61733037</v>
      </c>
      <c r="I22" s="69" t="s">
        <v>23</v>
      </c>
      <c r="J22" s="69" t="s">
        <v>23</v>
      </c>
      <c r="K22" s="69" t="s">
        <v>23</v>
      </c>
    </row>
    <row r="23" spans="2:11" s="89" customFormat="1" ht="16.5" customHeight="1">
      <c r="B23" s="87"/>
      <c r="C23" s="90"/>
      <c r="D23" s="87"/>
      <c r="E23" s="88" t="s">
        <v>14</v>
      </c>
      <c r="F23" s="67">
        <f>3546+14+556+0</f>
        <v>4116</v>
      </c>
      <c r="G23" s="68">
        <f>5514+58+820+0</f>
        <v>6392</v>
      </c>
      <c r="H23" s="68">
        <f>62186880+570920+5417620+0</f>
        <v>68175420</v>
      </c>
      <c r="I23" s="69" t="s">
        <v>23</v>
      </c>
      <c r="J23" s="69" t="s">
        <v>23</v>
      </c>
      <c r="K23" s="69" t="s">
        <v>23</v>
      </c>
    </row>
    <row r="24" spans="2:11" s="89" customFormat="1" ht="16.5" customHeight="1">
      <c r="B24" s="87"/>
      <c r="C24" s="90"/>
      <c r="D24" s="87"/>
      <c r="E24" s="88" t="s">
        <v>15</v>
      </c>
      <c r="F24" s="67">
        <f>839+205</f>
        <v>1044</v>
      </c>
      <c r="G24" s="68">
        <f>1352+358</f>
        <v>1710</v>
      </c>
      <c r="H24" s="68">
        <f>9140710+2464720</f>
        <v>11605430</v>
      </c>
      <c r="I24" s="69" t="s">
        <v>23</v>
      </c>
      <c r="J24" s="69" t="s">
        <v>23</v>
      </c>
      <c r="K24" s="69" t="s">
        <v>23</v>
      </c>
    </row>
    <row r="25" spans="2:11" s="89" customFormat="1" ht="16.5" customHeight="1">
      <c r="B25" s="87"/>
      <c r="C25" s="90"/>
      <c r="D25" s="87"/>
      <c r="E25" s="88" t="s">
        <v>16</v>
      </c>
      <c r="F25" s="67">
        <f>2020+361</f>
        <v>2381</v>
      </c>
      <c r="G25" s="68">
        <f>2414+428</f>
        <v>2842</v>
      </c>
      <c r="H25" s="68">
        <f>23991310+3532350</f>
        <v>27523660</v>
      </c>
      <c r="I25" s="69" t="s">
        <v>23</v>
      </c>
      <c r="J25" s="69" t="s">
        <v>23</v>
      </c>
      <c r="K25" s="69" t="s">
        <v>23</v>
      </c>
    </row>
    <row r="26" spans="2:11" s="89" customFormat="1" ht="16.5" customHeight="1">
      <c r="B26" s="87"/>
      <c r="C26" s="90"/>
      <c r="D26" s="87"/>
      <c r="E26" s="91" t="s">
        <v>22</v>
      </c>
      <c r="F26" s="67">
        <f>SUM(F22:F25)</f>
        <v>7636</v>
      </c>
      <c r="G26" s="68">
        <f>SUM(G22:G25)</f>
        <v>12681</v>
      </c>
      <c r="H26" s="68">
        <f>SUM(H22:H25)</f>
        <v>169037547</v>
      </c>
      <c r="I26" s="68">
        <v>117639679</v>
      </c>
      <c r="J26" s="68">
        <v>44917111</v>
      </c>
      <c r="K26" s="68">
        <v>6480757</v>
      </c>
    </row>
    <row r="27" spans="2:11" s="89" customFormat="1" ht="16.5" customHeight="1">
      <c r="B27" s="88"/>
      <c r="C27" s="88" t="s">
        <v>9</v>
      </c>
      <c r="D27" s="88"/>
      <c r="E27" s="87"/>
      <c r="F27" s="67">
        <f>165+1</f>
        <v>166</v>
      </c>
      <c r="G27" s="69" t="s">
        <v>23</v>
      </c>
      <c r="H27" s="68">
        <v>1465793</v>
      </c>
      <c r="I27" s="68">
        <f>1026036+4650</f>
        <v>1030686</v>
      </c>
      <c r="J27" s="68">
        <f>322987-4650</f>
        <v>318337</v>
      </c>
      <c r="K27" s="68">
        <v>116770</v>
      </c>
    </row>
    <row r="28" spans="2:11" s="89" customFormat="1" ht="16.5" customHeight="1">
      <c r="B28" s="101" t="s">
        <v>20</v>
      </c>
      <c r="C28" s="101"/>
      <c r="D28" s="101"/>
      <c r="E28" s="102"/>
      <c r="F28" s="67">
        <f>F26+F27</f>
        <v>7802</v>
      </c>
      <c r="G28" s="68">
        <f>G26</f>
        <v>12681</v>
      </c>
      <c r="H28" s="68">
        <f>H26+H27</f>
        <v>170503340</v>
      </c>
      <c r="I28" s="68">
        <f>I26+I27</f>
        <v>118670365</v>
      </c>
      <c r="J28" s="68">
        <f>J26+J27</f>
        <v>45235448</v>
      </c>
      <c r="K28" s="68">
        <f>K26+K27</f>
        <v>6597527</v>
      </c>
    </row>
    <row r="29" spans="2:11" s="89" customFormat="1" ht="16.5" customHeight="1">
      <c r="C29" s="88" t="s">
        <v>10</v>
      </c>
      <c r="D29" s="88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89" customFormat="1" ht="16.5" customHeight="1">
      <c r="C30" s="88" t="s">
        <v>11</v>
      </c>
      <c r="D30" s="88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89" customFormat="1" ht="16.5" customHeight="1">
      <c r="C31" s="88" t="s">
        <v>12</v>
      </c>
      <c r="D31" s="88"/>
      <c r="F31" s="67">
        <v>286</v>
      </c>
      <c r="G31" s="69" t="s">
        <v>23</v>
      </c>
      <c r="H31" s="69" t="s">
        <v>23</v>
      </c>
      <c r="I31" s="68">
        <v>23321972</v>
      </c>
      <c r="J31" s="69" t="s">
        <v>23</v>
      </c>
      <c r="K31" s="69" t="s">
        <v>23</v>
      </c>
    </row>
    <row r="32" spans="2:11" s="89" customFormat="1" ht="16.5" customHeight="1">
      <c r="B32" s="103" t="s">
        <v>21</v>
      </c>
      <c r="C32" s="103"/>
      <c r="D32" s="103"/>
      <c r="E32" s="102"/>
      <c r="F32" s="67">
        <f>SUM(F29:F31)</f>
        <v>286</v>
      </c>
      <c r="G32" s="69" t="s">
        <v>23</v>
      </c>
      <c r="H32" s="69" t="s">
        <v>23</v>
      </c>
      <c r="I32" s="68">
        <f>SUM(I29:I31)</f>
        <v>23321972</v>
      </c>
      <c r="J32" s="69" t="s">
        <v>23</v>
      </c>
      <c r="K32" s="69" t="s">
        <v>23</v>
      </c>
    </row>
    <row r="33" spans="2:11" s="89" customFormat="1" ht="16.5" customHeight="1" thickBot="1">
      <c r="B33" s="104" t="s">
        <v>1</v>
      </c>
      <c r="C33" s="104"/>
      <c r="D33" s="104"/>
      <c r="E33" s="105"/>
      <c r="F33" s="78">
        <f>F28+F32</f>
        <v>8088</v>
      </c>
      <c r="G33" s="79">
        <f>G28</f>
        <v>12681</v>
      </c>
      <c r="H33" s="79">
        <f>H28</f>
        <v>170503340</v>
      </c>
      <c r="I33" s="79">
        <f>I28+I32</f>
        <v>141992337</v>
      </c>
      <c r="J33" s="79">
        <f>J28</f>
        <v>45235448</v>
      </c>
      <c r="K33" s="79">
        <f>K28</f>
        <v>6597527</v>
      </c>
    </row>
    <row r="34" spans="2:11" s="62" customFormat="1" ht="4.5" customHeight="1"/>
    <row r="35" spans="2:11" s="62" customFormat="1" ht="13.2">
      <c r="B35" s="93" t="s">
        <v>26</v>
      </c>
      <c r="C35" s="92"/>
      <c r="D35" s="92"/>
      <c r="E35" s="92"/>
      <c r="G35" s="75"/>
    </row>
    <row r="36" spans="2:11" s="62" customFormat="1" ht="13.2"/>
    <row r="37" spans="2:11" s="62" customFormat="1" ht="13.2"/>
    <row r="38" spans="2:11" s="62" customFormat="1" ht="13.2"/>
    <row r="39" spans="2:11" s="62" customFormat="1" ht="13.2"/>
    <row r="40" spans="2:11" s="62" customFormat="1" ht="13.2"/>
    <row r="41" spans="2:11" s="62" customFormat="1" ht="13.2"/>
    <row r="42" spans="2:11" s="62" customFormat="1" ht="13.2"/>
    <row r="43" spans="2:11" s="62" customFormat="1" ht="13.2"/>
    <row r="44" spans="2:11" s="62" customFormat="1" ht="13.2"/>
    <row r="45" spans="2:11" s="62" customFormat="1" ht="13.2"/>
    <row r="46" spans="2:11" s="62" customFormat="1" ht="13.2"/>
    <row r="47" spans="2:11" s="62" customFormat="1" ht="13.2"/>
    <row r="48" spans="2:11" s="62" customFormat="1" ht="13.2"/>
    <row r="49" s="62" customFormat="1" ht="13.2"/>
    <row r="50" s="62" customFormat="1" ht="13.2"/>
    <row r="51" s="62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6" orientation="portrait" r:id="rId1"/>
  <headerFooter alignWithMargins="0"/>
  <ignoredErrors>
    <ignoredError sqref="I16 G28 I33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27" sqref="F27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1.1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51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67">
        <v>13208</v>
      </c>
      <c r="G5" s="68">
        <v>190926</v>
      </c>
      <c r="H5" s="68">
        <f>7272906874+319062795</f>
        <v>7591969669</v>
      </c>
      <c r="I5" s="69" t="s">
        <v>23</v>
      </c>
      <c r="J5" s="69" t="s">
        <v>23</v>
      </c>
      <c r="K5" s="69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67">
        <f>703156+1477</f>
        <v>704633</v>
      </c>
      <c r="G6" s="68">
        <f>1148801+12319</f>
        <v>1161120</v>
      </c>
      <c r="H6" s="68">
        <f>10322709247+141144260</f>
        <v>10463853507</v>
      </c>
      <c r="I6" s="69" t="s">
        <v>23</v>
      </c>
      <c r="J6" s="69" t="s">
        <v>23</v>
      </c>
      <c r="K6" s="69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67">
        <v>175522</v>
      </c>
      <c r="G7" s="68">
        <v>302463</v>
      </c>
      <c r="H7" s="68">
        <v>2117746586</v>
      </c>
      <c r="I7" s="69" t="s">
        <v>23</v>
      </c>
      <c r="J7" s="69" t="s">
        <v>23</v>
      </c>
      <c r="K7" s="69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67">
        <v>373080</v>
      </c>
      <c r="G8" s="70">
        <v>453142</v>
      </c>
      <c r="H8" s="68">
        <v>4482751810</v>
      </c>
      <c r="I8" s="69" t="s">
        <v>23</v>
      </c>
      <c r="J8" s="69" t="s">
        <v>23</v>
      </c>
      <c r="K8" s="69" t="s">
        <v>23</v>
      </c>
    </row>
    <row r="9" spans="2:11" s="13" customFormat="1" ht="16.5" customHeight="1">
      <c r="B9" s="11"/>
      <c r="C9" s="10"/>
      <c r="D9" s="11"/>
      <c r="E9" s="77" t="s">
        <v>22</v>
      </c>
      <c r="F9" s="67">
        <f>SUM(F5:F8)</f>
        <v>1266443</v>
      </c>
      <c r="G9" s="68">
        <f>SUM(G5:G8)</f>
        <v>2107651</v>
      </c>
      <c r="H9" s="68">
        <f>SUM(H5:H8)</f>
        <v>24656321572</v>
      </c>
      <c r="I9" s="68">
        <v>17907015032</v>
      </c>
      <c r="J9" s="68">
        <v>5661826694</v>
      </c>
      <c r="K9" s="68">
        <v>1087479846</v>
      </c>
    </row>
    <row r="10" spans="2:11" s="13" customFormat="1" ht="16.5" customHeight="1">
      <c r="B10" s="12"/>
      <c r="C10" s="12" t="s">
        <v>9</v>
      </c>
      <c r="D10" s="12"/>
      <c r="E10" s="11"/>
      <c r="F10" s="67">
        <f>32+30027</f>
        <v>30059</v>
      </c>
      <c r="G10" s="69" t="s">
        <v>49</v>
      </c>
      <c r="H10" s="68">
        <v>258397957</v>
      </c>
      <c r="I10" s="68">
        <f>249900+187630143</f>
        <v>187880043</v>
      </c>
      <c r="J10" s="68">
        <f>-249900+54928361</f>
        <v>54678461</v>
      </c>
      <c r="K10" s="68">
        <v>15839453</v>
      </c>
    </row>
    <row r="11" spans="2:11" s="13" customFormat="1" ht="16.5" customHeight="1">
      <c r="B11" s="110" t="s">
        <v>19</v>
      </c>
      <c r="C11" s="110"/>
      <c r="D11" s="110"/>
      <c r="E11" s="107"/>
      <c r="F11" s="67">
        <f t="shared" ref="F11:K11" si="0">F9+F10</f>
        <v>1296502</v>
      </c>
      <c r="G11" s="68">
        <f t="shared" si="0"/>
        <v>2107651</v>
      </c>
      <c r="H11" s="68">
        <f t="shared" si="0"/>
        <v>24914719529</v>
      </c>
      <c r="I11" s="68">
        <f t="shared" si="0"/>
        <v>18094895075</v>
      </c>
      <c r="J11" s="68">
        <f t="shared" si="0"/>
        <v>5716505155</v>
      </c>
      <c r="K11" s="68">
        <f t="shared" si="0"/>
        <v>1103319299</v>
      </c>
    </row>
    <row r="12" spans="2:11" s="13" customFormat="1" ht="16.5" customHeight="1">
      <c r="C12" s="12" t="s">
        <v>10</v>
      </c>
      <c r="D12" s="12"/>
      <c r="F12" s="67">
        <v>344</v>
      </c>
      <c r="G12" s="69" t="s">
        <v>49</v>
      </c>
      <c r="H12" s="69" t="s">
        <v>49</v>
      </c>
      <c r="I12" s="68">
        <v>143580000</v>
      </c>
      <c r="J12" s="69" t="s">
        <v>23</v>
      </c>
      <c r="K12" s="69" t="s">
        <v>23</v>
      </c>
    </row>
    <row r="13" spans="2:11" s="13" customFormat="1" ht="16.5" customHeight="1">
      <c r="C13" s="12" t="s">
        <v>11</v>
      </c>
      <c r="D13" s="12"/>
      <c r="F13" s="67">
        <v>402</v>
      </c>
      <c r="G13" s="69" t="s">
        <v>49</v>
      </c>
      <c r="H13" s="69" t="s">
        <v>49</v>
      </c>
      <c r="I13" s="68">
        <v>20100000</v>
      </c>
      <c r="J13" s="69" t="s">
        <v>23</v>
      </c>
      <c r="K13" s="69" t="s">
        <v>23</v>
      </c>
    </row>
    <row r="14" spans="2:11" s="13" customFormat="1" ht="16.5" customHeight="1">
      <c r="C14" s="12" t="s">
        <v>12</v>
      </c>
      <c r="D14" s="12"/>
      <c r="F14" s="67">
        <f>37616+46</f>
        <v>37662</v>
      </c>
      <c r="G14" s="69" t="s">
        <v>23</v>
      </c>
      <c r="H14" s="69" t="s">
        <v>23</v>
      </c>
      <c r="I14" s="68">
        <f>2265234493+1796518</f>
        <v>2267031011</v>
      </c>
      <c r="J14" s="69" t="s">
        <v>23</v>
      </c>
      <c r="K14" s="69" t="s">
        <v>23</v>
      </c>
    </row>
    <row r="15" spans="2:11" s="13" customFormat="1" ht="16.5" customHeight="1">
      <c r="B15" s="106" t="s">
        <v>21</v>
      </c>
      <c r="C15" s="106"/>
      <c r="D15" s="106"/>
      <c r="E15" s="107"/>
      <c r="F15" s="67">
        <f>SUM(F12:F14)</f>
        <v>38408</v>
      </c>
      <c r="G15" s="69" t="s">
        <v>23</v>
      </c>
      <c r="H15" s="69" t="s">
        <v>23</v>
      </c>
      <c r="I15" s="68">
        <f>SUM(I12:I14)</f>
        <v>2430711011</v>
      </c>
      <c r="J15" s="69" t="s">
        <v>23</v>
      </c>
      <c r="K15" s="69" t="s">
        <v>23</v>
      </c>
    </row>
    <row r="16" spans="2:11" s="13" customFormat="1" ht="16.5" customHeight="1" thickBot="1">
      <c r="B16" s="108" t="s">
        <v>1</v>
      </c>
      <c r="C16" s="108"/>
      <c r="D16" s="108"/>
      <c r="E16" s="109"/>
      <c r="F16" s="78">
        <f>F11+F15</f>
        <v>1334910</v>
      </c>
      <c r="G16" s="79">
        <f>G11</f>
        <v>2107651</v>
      </c>
      <c r="H16" s="79">
        <f>H11</f>
        <v>24914719529</v>
      </c>
      <c r="I16" s="79">
        <f>I11+I15</f>
        <v>20525606086</v>
      </c>
      <c r="J16" s="79">
        <f>J11</f>
        <v>5716505155</v>
      </c>
      <c r="K16" s="79">
        <f>K11</f>
        <v>1103319299</v>
      </c>
    </row>
    <row r="17" spans="2:11" s="3" customFormat="1" ht="4.5" customHeight="1">
      <c r="F17" s="62"/>
      <c r="G17" s="62"/>
      <c r="H17" s="62"/>
      <c r="I17" s="62"/>
      <c r="J17" s="62"/>
      <c r="K17" s="62"/>
    </row>
    <row r="18" spans="2:11" s="3" customFormat="1" ht="4.5" customHeight="1">
      <c r="F18" s="62"/>
      <c r="G18" s="62"/>
      <c r="H18" s="62"/>
      <c r="I18" s="62"/>
      <c r="J18" s="62"/>
      <c r="K18" s="62"/>
    </row>
    <row r="19" spans="2:11" s="3" customFormat="1" ht="12.75" customHeight="1">
      <c r="B19" s="14" t="s">
        <v>2</v>
      </c>
      <c r="C19" s="7"/>
      <c r="D19" s="7"/>
      <c r="E19" s="7"/>
      <c r="F19" s="73"/>
      <c r="G19" s="62"/>
      <c r="H19" s="62"/>
      <c r="I19" s="62"/>
      <c r="J19" s="62"/>
      <c r="K19" s="63" t="s">
        <v>48</v>
      </c>
    </row>
    <row r="20" spans="2:11" s="3" customFormat="1" ht="4.5" customHeight="1" thickBot="1">
      <c r="B20" s="4"/>
      <c r="C20" s="4"/>
      <c r="D20" s="4"/>
      <c r="E20" s="4"/>
      <c r="F20" s="64"/>
      <c r="G20" s="64"/>
      <c r="H20" s="64"/>
      <c r="I20" s="64"/>
      <c r="J20" s="64"/>
      <c r="K20" s="64"/>
    </row>
    <row r="21" spans="2:11" s="3" customFormat="1" ht="26.4">
      <c r="B21" s="99" t="s">
        <v>5</v>
      </c>
      <c r="C21" s="99"/>
      <c r="D21" s="99"/>
      <c r="E21" s="100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67">
        <f>166+35</f>
        <v>201</v>
      </c>
      <c r="G22" s="68">
        <f>2436+749</f>
        <v>3185</v>
      </c>
      <c r="H22" s="68">
        <f>114670991+4349713+18919300+1467888</f>
        <v>139407892</v>
      </c>
      <c r="I22" s="69" t="s">
        <v>23</v>
      </c>
      <c r="J22" s="69" t="s">
        <v>23</v>
      </c>
      <c r="K22" s="69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67">
        <f>9556+14+2301+9</f>
        <v>11880</v>
      </c>
      <c r="G23" s="68">
        <f>16208+55+3909+60</f>
        <v>20232</v>
      </c>
      <c r="H23" s="68">
        <f>188583317+565960+32723490+658680</f>
        <v>222531447</v>
      </c>
      <c r="I23" s="69" t="s">
        <v>23</v>
      </c>
      <c r="J23" s="69" t="s">
        <v>23</v>
      </c>
      <c r="K23" s="69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67">
        <f>2422+651</f>
        <v>3073</v>
      </c>
      <c r="G24" s="68">
        <f>4225+1084</f>
        <v>5309</v>
      </c>
      <c r="H24" s="68">
        <f>29353190+7334130</f>
        <v>36687320</v>
      </c>
      <c r="I24" s="69" t="s">
        <v>23</v>
      </c>
      <c r="J24" s="69" t="s">
        <v>23</v>
      </c>
      <c r="K24" s="69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67">
        <f>5386+1329</f>
        <v>6715</v>
      </c>
      <c r="G25" s="68">
        <f>6804+1624</f>
        <v>8428</v>
      </c>
      <c r="H25" s="68">
        <f>74515531+16629250</f>
        <v>91144781</v>
      </c>
      <c r="I25" s="69" t="s">
        <v>23</v>
      </c>
      <c r="J25" s="69" t="s">
        <v>23</v>
      </c>
      <c r="K25" s="69" t="s">
        <v>23</v>
      </c>
    </row>
    <row r="26" spans="2:11" s="13" customFormat="1" ht="16.5" customHeight="1">
      <c r="B26" s="11"/>
      <c r="C26" s="10"/>
      <c r="D26" s="11"/>
      <c r="E26" s="77" t="s">
        <v>22</v>
      </c>
      <c r="F26" s="67">
        <f>SUM(F22:F25)</f>
        <v>21869</v>
      </c>
      <c r="G26" s="68">
        <f>SUM(G22:G25)</f>
        <v>37154</v>
      </c>
      <c r="H26" s="68">
        <f>SUM(H22:H25)</f>
        <v>489771440</v>
      </c>
      <c r="I26" s="68">
        <v>341962828</v>
      </c>
      <c r="J26" s="68">
        <v>127385442</v>
      </c>
      <c r="K26" s="68">
        <v>20423170</v>
      </c>
    </row>
    <row r="27" spans="2:11" s="13" customFormat="1" ht="16.5" customHeight="1">
      <c r="B27" s="12"/>
      <c r="C27" s="12" t="s">
        <v>9</v>
      </c>
      <c r="D27" s="12"/>
      <c r="E27" s="11"/>
      <c r="F27" s="67">
        <v>517</v>
      </c>
      <c r="G27" s="69" t="s">
        <v>23</v>
      </c>
      <c r="H27" s="68">
        <v>4668236</v>
      </c>
      <c r="I27" s="68">
        <v>3267707</v>
      </c>
      <c r="J27" s="68">
        <v>1074855</v>
      </c>
      <c r="K27" s="68">
        <v>325674</v>
      </c>
    </row>
    <row r="28" spans="2:11" s="13" customFormat="1" ht="16.5" customHeight="1">
      <c r="B28" s="110" t="s">
        <v>20</v>
      </c>
      <c r="C28" s="110"/>
      <c r="D28" s="110"/>
      <c r="E28" s="107"/>
      <c r="F28" s="67">
        <f>F26+F27</f>
        <v>22386</v>
      </c>
      <c r="G28" s="68">
        <f>G26</f>
        <v>37154</v>
      </c>
      <c r="H28" s="68">
        <f>H26+H27</f>
        <v>494439676</v>
      </c>
      <c r="I28" s="68">
        <f>I26+I27</f>
        <v>345230535</v>
      </c>
      <c r="J28" s="68">
        <f>J26+J27</f>
        <v>128460297</v>
      </c>
      <c r="K28" s="68">
        <f>K26+K27</f>
        <v>20748844</v>
      </c>
    </row>
    <row r="29" spans="2:11" s="13" customFormat="1" ht="16.5" customHeight="1">
      <c r="C29" s="12" t="s">
        <v>10</v>
      </c>
      <c r="D29" s="12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13" customFormat="1" ht="16.5" customHeight="1">
      <c r="C30" s="12" t="s">
        <v>11</v>
      </c>
      <c r="D30" s="12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13" customFormat="1" ht="16.5" customHeight="1">
      <c r="C31" s="12" t="s">
        <v>12</v>
      </c>
      <c r="D31" s="12"/>
      <c r="F31" s="67">
        <f>782+1</f>
        <v>783</v>
      </c>
      <c r="G31" s="69" t="s">
        <v>23</v>
      </c>
      <c r="H31" s="69" t="s">
        <v>23</v>
      </c>
      <c r="I31" s="68">
        <f>59126414+5993</f>
        <v>59132407</v>
      </c>
      <c r="J31" s="69" t="s">
        <v>23</v>
      </c>
      <c r="K31" s="69" t="s">
        <v>23</v>
      </c>
    </row>
    <row r="32" spans="2:11" s="13" customFormat="1" ht="16.5" customHeight="1">
      <c r="B32" s="106" t="s">
        <v>21</v>
      </c>
      <c r="C32" s="106"/>
      <c r="D32" s="106"/>
      <c r="E32" s="107"/>
      <c r="F32" s="67">
        <f>SUM(F29:F31)</f>
        <v>783</v>
      </c>
      <c r="G32" s="69" t="s">
        <v>23</v>
      </c>
      <c r="H32" s="69" t="s">
        <v>23</v>
      </c>
      <c r="I32" s="68">
        <f>SUM(I29:I31)</f>
        <v>59132407</v>
      </c>
      <c r="J32" s="69" t="s">
        <v>23</v>
      </c>
      <c r="K32" s="69" t="s">
        <v>23</v>
      </c>
    </row>
    <row r="33" spans="2:11" s="13" customFormat="1" ht="16.5" customHeight="1" thickBot="1">
      <c r="B33" s="108" t="s">
        <v>1</v>
      </c>
      <c r="C33" s="108"/>
      <c r="D33" s="108"/>
      <c r="E33" s="109"/>
      <c r="F33" s="80">
        <f>F28+F32</f>
        <v>23169</v>
      </c>
      <c r="G33" s="81">
        <f>G28</f>
        <v>37154</v>
      </c>
      <c r="H33" s="81">
        <f>H28</f>
        <v>494439676</v>
      </c>
      <c r="I33" s="81">
        <f>I28+I32</f>
        <v>404362942</v>
      </c>
      <c r="J33" s="81">
        <f>J28</f>
        <v>128460297</v>
      </c>
      <c r="K33" s="81">
        <f>K28</f>
        <v>20748844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25" sqref="F25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1.1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50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46">
        <v>13263</v>
      </c>
      <c r="G5" s="47">
        <v>194495</v>
      </c>
      <c r="H5" s="47">
        <f>7428566330+325459893</f>
        <v>7754026223</v>
      </c>
      <c r="I5" s="48" t="s">
        <v>23</v>
      </c>
      <c r="J5" s="48" t="s">
        <v>23</v>
      </c>
      <c r="K5" s="48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46">
        <f>720626+1311</f>
        <v>721937</v>
      </c>
      <c r="G6" s="47">
        <f>1183304+10896</f>
        <v>1194200</v>
      </c>
      <c r="H6" s="47">
        <f>10304176820+123164810</f>
        <v>10427341630</v>
      </c>
      <c r="I6" s="48" t="s">
        <v>23</v>
      </c>
      <c r="J6" s="48" t="s">
        <v>23</v>
      </c>
      <c r="K6" s="48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46">
        <v>178684</v>
      </c>
      <c r="G7" s="47">
        <v>315799</v>
      </c>
      <c r="H7" s="47">
        <v>2188391574</v>
      </c>
      <c r="I7" s="48" t="s">
        <v>23</v>
      </c>
      <c r="J7" s="48" t="s">
        <v>23</v>
      </c>
      <c r="K7" s="48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46">
        <v>379183</v>
      </c>
      <c r="G8" s="51">
        <v>465477</v>
      </c>
      <c r="H8" s="47">
        <v>4422586926</v>
      </c>
      <c r="I8" s="48" t="s">
        <v>23</v>
      </c>
      <c r="J8" s="48" t="s">
        <v>23</v>
      </c>
      <c r="K8" s="48" t="s">
        <v>23</v>
      </c>
    </row>
    <row r="9" spans="2:11" s="13" customFormat="1" ht="16.5" customHeight="1">
      <c r="B9" s="11"/>
      <c r="C9" s="10"/>
      <c r="D9" s="11"/>
      <c r="E9" s="77" t="s">
        <v>22</v>
      </c>
      <c r="F9" s="46">
        <f>SUM(F5:F8)</f>
        <v>1293067</v>
      </c>
      <c r="G9" s="47">
        <f>SUM(G5:G8)</f>
        <v>2169971</v>
      </c>
      <c r="H9" s="47">
        <f>SUM(H5:H8)</f>
        <v>24792346353</v>
      </c>
      <c r="I9" s="47">
        <v>17997628016</v>
      </c>
      <c r="J9" s="47">
        <v>5624862707</v>
      </c>
      <c r="K9" s="47">
        <v>1169855630</v>
      </c>
    </row>
    <row r="10" spans="2:11" s="13" customFormat="1" ht="16.5" customHeight="1">
      <c r="B10" s="12"/>
      <c r="C10" s="12" t="s">
        <v>9</v>
      </c>
      <c r="D10" s="12"/>
      <c r="E10" s="11"/>
      <c r="F10" s="46">
        <f>31244+29</f>
        <v>31273</v>
      </c>
      <c r="G10" s="48" t="s">
        <v>49</v>
      </c>
      <c r="H10" s="47">
        <v>272178161</v>
      </c>
      <c r="I10" s="47">
        <f>197736995+109250</f>
        <v>197846245</v>
      </c>
      <c r="J10" s="47">
        <f>56222013-109250</f>
        <v>56112763</v>
      </c>
      <c r="K10" s="47">
        <v>18219153</v>
      </c>
    </row>
    <row r="11" spans="2:11" s="13" customFormat="1" ht="16.5" customHeight="1">
      <c r="B11" s="110" t="s">
        <v>19</v>
      </c>
      <c r="C11" s="110"/>
      <c r="D11" s="110"/>
      <c r="E11" s="107"/>
      <c r="F11" s="46">
        <f t="shared" ref="F11:K11" si="0">F9+F10</f>
        <v>1324340</v>
      </c>
      <c r="G11" s="47">
        <f t="shared" si="0"/>
        <v>2169971</v>
      </c>
      <c r="H11" s="47">
        <f t="shared" si="0"/>
        <v>25064524514</v>
      </c>
      <c r="I11" s="47">
        <f t="shared" si="0"/>
        <v>18195474261</v>
      </c>
      <c r="J11" s="47">
        <f t="shared" si="0"/>
        <v>5680975470</v>
      </c>
      <c r="K11" s="47">
        <f t="shared" si="0"/>
        <v>1188074783</v>
      </c>
    </row>
    <row r="12" spans="2:11" s="13" customFormat="1" ht="16.5" customHeight="1">
      <c r="C12" s="12" t="s">
        <v>10</v>
      </c>
      <c r="D12" s="12"/>
      <c r="F12" s="46">
        <v>345</v>
      </c>
      <c r="G12" s="48" t="s">
        <v>49</v>
      </c>
      <c r="H12" s="48" t="s">
        <v>49</v>
      </c>
      <c r="I12" s="47">
        <v>143412364</v>
      </c>
      <c r="J12" s="48" t="s">
        <v>23</v>
      </c>
      <c r="K12" s="48" t="s">
        <v>23</v>
      </c>
    </row>
    <row r="13" spans="2:11" s="13" customFormat="1" ht="16.5" customHeight="1">
      <c r="C13" s="12" t="s">
        <v>11</v>
      </c>
      <c r="D13" s="12"/>
      <c r="F13" s="46">
        <v>404</v>
      </c>
      <c r="G13" s="48" t="s">
        <v>49</v>
      </c>
      <c r="H13" s="48" t="s">
        <v>49</v>
      </c>
      <c r="I13" s="47">
        <v>20200000</v>
      </c>
      <c r="J13" s="48" t="s">
        <v>23</v>
      </c>
      <c r="K13" s="48" t="s">
        <v>23</v>
      </c>
    </row>
    <row r="14" spans="2:11" s="13" customFormat="1" ht="16.5" customHeight="1">
      <c r="C14" s="12" t="s">
        <v>12</v>
      </c>
      <c r="D14" s="12"/>
      <c r="F14" s="46">
        <f>36166+34</f>
        <v>36200</v>
      </c>
      <c r="G14" s="48" t="s">
        <v>23</v>
      </c>
      <c r="H14" s="48" t="s">
        <v>23</v>
      </c>
      <c r="I14" s="47">
        <f>2204911983+1999731</f>
        <v>2206911714</v>
      </c>
      <c r="J14" s="48" t="s">
        <v>23</v>
      </c>
      <c r="K14" s="48" t="s">
        <v>23</v>
      </c>
    </row>
    <row r="15" spans="2:11" s="13" customFormat="1" ht="16.5" customHeight="1">
      <c r="B15" s="106" t="s">
        <v>21</v>
      </c>
      <c r="C15" s="106"/>
      <c r="D15" s="106"/>
      <c r="E15" s="107"/>
      <c r="F15" s="46">
        <f>SUM(F12:F14)</f>
        <v>36949</v>
      </c>
      <c r="G15" s="48" t="s">
        <v>23</v>
      </c>
      <c r="H15" s="48" t="s">
        <v>23</v>
      </c>
      <c r="I15" s="47">
        <f>SUM(I12:I14)</f>
        <v>2370524078</v>
      </c>
      <c r="J15" s="48" t="s">
        <v>23</v>
      </c>
      <c r="K15" s="48" t="s">
        <v>23</v>
      </c>
    </row>
    <row r="16" spans="2:11" s="13" customFormat="1" ht="16.5" customHeight="1" thickBot="1">
      <c r="B16" s="108" t="s">
        <v>1</v>
      </c>
      <c r="C16" s="108"/>
      <c r="D16" s="108"/>
      <c r="E16" s="109"/>
      <c r="F16" s="80">
        <f>F11+F15</f>
        <v>1361289</v>
      </c>
      <c r="G16" s="81">
        <f>G11</f>
        <v>2169971</v>
      </c>
      <c r="H16" s="81">
        <f>H11</f>
        <v>25064524514</v>
      </c>
      <c r="I16" s="81">
        <f>I11+I15</f>
        <v>20565998339</v>
      </c>
      <c r="J16" s="81">
        <f>J11</f>
        <v>5680975470</v>
      </c>
      <c r="K16" s="81">
        <f>K11</f>
        <v>1188074783</v>
      </c>
    </row>
    <row r="17" spans="2:11" s="3" customFormat="1" ht="4.5" customHeight="1">
      <c r="F17" s="39"/>
      <c r="G17" s="39"/>
      <c r="H17" s="39"/>
      <c r="I17" s="39"/>
      <c r="J17" s="39"/>
      <c r="K17" s="39"/>
    </row>
    <row r="18" spans="2:11" s="3" customFormat="1" ht="4.5" customHeight="1">
      <c r="F18" s="39"/>
      <c r="G18" s="39"/>
      <c r="H18" s="39"/>
      <c r="I18" s="39"/>
      <c r="J18" s="39"/>
      <c r="K18" s="39"/>
    </row>
    <row r="19" spans="2:11" s="3" customFormat="1" ht="12.75" customHeight="1">
      <c r="B19" s="14" t="s">
        <v>2</v>
      </c>
      <c r="C19" s="7"/>
      <c r="D19" s="7"/>
      <c r="E19" s="7"/>
      <c r="F19" s="58"/>
      <c r="G19" s="39"/>
      <c r="H19" s="39"/>
      <c r="I19" s="39"/>
      <c r="J19" s="39"/>
      <c r="K19" s="40" t="s">
        <v>48</v>
      </c>
    </row>
    <row r="20" spans="2:11" s="3" customFormat="1" ht="4.5" customHeight="1" thickBot="1">
      <c r="B20" s="4"/>
      <c r="C20" s="4"/>
      <c r="D20" s="4"/>
      <c r="E20" s="4"/>
      <c r="F20" s="41"/>
      <c r="G20" s="41"/>
      <c r="H20" s="41"/>
      <c r="I20" s="41"/>
      <c r="J20" s="41"/>
      <c r="K20" s="41"/>
    </row>
    <row r="21" spans="2:11" s="3" customFormat="1" ht="26.4">
      <c r="B21" s="99" t="s">
        <v>5</v>
      </c>
      <c r="C21" s="99"/>
      <c r="D21" s="99"/>
      <c r="E21" s="100"/>
      <c r="F21" s="42" t="s">
        <v>3</v>
      </c>
      <c r="G21" s="42" t="s">
        <v>4</v>
      </c>
      <c r="H21" s="42" t="s">
        <v>6</v>
      </c>
      <c r="I21" s="43" t="s">
        <v>17</v>
      </c>
      <c r="J21" s="43" t="s">
        <v>18</v>
      </c>
      <c r="K21" s="43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46">
        <f>310+59</f>
        <v>369</v>
      </c>
      <c r="G22" s="47">
        <f>3747+629</f>
        <v>4376</v>
      </c>
      <c r="H22" s="47">
        <f>192190380+25056330+6056658+961009</f>
        <v>224264377</v>
      </c>
      <c r="I22" s="48" t="s">
        <v>23</v>
      </c>
      <c r="J22" s="48" t="s">
        <v>23</v>
      </c>
      <c r="K22" s="48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46">
        <f>18217+5375+35+22</f>
        <v>23649</v>
      </c>
      <c r="G23" s="47">
        <f>31282+9066+188+250</f>
        <v>40786</v>
      </c>
      <c r="H23" s="47">
        <f>334991120+83824300+2164690+2613340</f>
        <v>423593450</v>
      </c>
      <c r="I23" s="48" t="s">
        <v>23</v>
      </c>
      <c r="J23" s="48" t="s">
        <v>23</v>
      </c>
      <c r="K23" s="48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46">
        <f>4587+1562</f>
        <v>6149</v>
      </c>
      <c r="G24" s="47">
        <f>8354+2761</f>
        <v>11115</v>
      </c>
      <c r="H24" s="47">
        <f>57687660+17722290</f>
        <v>75409950</v>
      </c>
      <c r="I24" s="48" t="s">
        <v>23</v>
      </c>
      <c r="J24" s="48" t="s">
        <v>23</v>
      </c>
      <c r="K24" s="48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46">
        <f>9888+2762</f>
        <v>12650</v>
      </c>
      <c r="G25" s="47">
        <f>12354+3513</f>
        <v>15867</v>
      </c>
      <c r="H25" s="47">
        <f>131215260+40907500</f>
        <v>172122760</v>
      </c>
      <c r="I25" s="48" t="s">
        <v>23</v>
      </c>
      <c r="J25" s="48" t="s">
        <v>23</v>
      </c>
      <c r="K25" s="48" t="s">
        <v>23</v>
      </c>
    </row>
    <row r="26" spans="2:11" s="13" customFormat="1" ht="16.5" customHeight="1">
      <c r="B26" s="11"/>
      <c r="C26" s="10"/>
      <c r="D26" s="11"/>
      <c r="E26" s="77" t="s">
        <v>22</v>
      </c>
      <c r="F26" s="46">
        <f>SUM(F22:F25)</f>
        <v>42817</v>
      </c>
      <c r="G26" s="47">
        <f>SUM(G22:G25)</f>
        <v>72144</v>
      </c>
      <c r="H26" s="47">
        <f>SUM(H22:H25)</f>
        <v>895390537</v>
      </c>
      <c r="I26" s="47">
        <v>625673336</v>
      </c>
      <c r="J26" s="47">
        <v>232199860</v>
      </c>
      <c r="K26" s="47">
        <v>37517341</v>
      </c>
    </row>
    <row r="27" spans="2:11" s="13" customFormat="1" ht="16.5" customHeight="1">
      <c r="B27" s="12"/>
      <c r="C27" s="12" t="s">
        <v>9</v>
      </c>
      <c r="D27" s="12"/>
      <c r="E27" s="11"/>
      <c r="F27" s="46">
        <v>1007</v>
      </c>
      <c r="G27" s="48" t="s">
        <v>23</v>
      </c>
      <c r="H27" s="47">
        <v>9327037</v>
      </c>
      <c r="I27" s="47">
        <v>6528794</v>
      </c>
      <c r="J27" s="47">
        <v>2144984</v>
      </c>
      <c r="K27" s="47">
        <v>653259</v>
      </c>
    </row>
    <row r="28" spans="2:11" s="13" customFormat="1" ht="16.5" customHeight="1">
      <c r="B28" s="110" t="s">
        <v>20</v>
      </c>
      <c r="C28" s="110"/>
      <c r="D28" s="110"/>
      <c r="E28" s="107"/>
      <c r="F28" s="46">
        <f>F26+F27</f>
        <v>43824</v>
      </c>
      <c r="G28" s="47">
        <f>G26</f>
        <v>72144</v>
      </c>
      <c r="H28" s="47">
        <f>H26+H27</f>
        <v>904717574</v>
      </c>
      <c r="I28" s="47">
        <f>I26+I27</f>
        <v>632202130</v>
      </c>
      <c r="J28" s="47">
        <f>J26+J27</f>
        <v>234344844</v>
      </c>
      <c r="K28" s="47">
        <f>K26+K27</f>
        <v>38170600</v>
      </c>
    </row>
    <row r="29" spans="2:11" s="13" customFormat="1" ht="16.5" customHeight="1">
      <c r="C29" s="12" t="s">
        <v>10</v>
      </c>
      <c r="D29" s="12"/>
      <c r="F29" s="59" t="s">
        <v>23</v>
      </c>
      <c r="G29" s="48" t="s">
        <v>23</v>
      </c>
      <c r="H29" s="48" t="s">
        <v>23</v>
      </c>
      <c r="I29" s="48" t="s">
        <v>23</v>
      </c>
      <c r="J29" s="48" t="s">
        <v>23</v>
      </c>
      <c r="K29" s="48" t="s">
        <v>23</v>
      </c>
    </row>
    <row r="30" spans="2:11" s="13" customFormat="1" ht="16.5" customHeight="1">
      <c r="C30" s="12" t="s">
        <v>11</v>
      </c>
      <c r="D30" s="12"/>
      <c r="F30" s="59" t="s">
        <v>23</v>
      </c>
      <c r="G30" s="48" t="s">
        <v>23</v>
      </c>
      <c r="H30" s="48" t="s">
        <v>23</v>
      </c>
      <c r="I30" s="48" t="s">
        <v>23</v>
      </c>
      <c r="J30" s="48" t="s">
        <v>23</v>
      </c>
      <c r="K30" s="48" t="s">
        <v>23</v>
      </c>
    </row>
    <row r="31" spans="2:11" s="13" customFormat="1" ht="16.5" customHeight="1">
      <c r="C31" s="12" t="s">
        <v>12</v>
      </c>
      <c r="D31" s="12"/>
      <c r="F31" s="46">
        <f>1278+2</f>
        <v>1280</v>
      </c>
      <c r="G31" s="48" t="s">
        <v>23</v>
      </c>
      <c r="H31" s="48" t="s">
        <v>23</v>
      </c>
      <c r="I31" s="47">
        <f>97516692+182523</f>
        <v>97699215</v>
      </c>
      <c r="J31" s="48" t="s">
        <v>23</v>
      </c>
      <c r="K31" s="48" t="s">
        <v>23</v>
      </c>
    </row>
    <row r="32" spans="2:11" s="13" customFormat="1" ht="16.5" customHeight="1">
      <c r="B32" s="106" t="s">
        <v>21</v>
      </c>
      <c r="C32" s="106"/>
      <c r="D32" s="106"/>
      <c r="E32" s="107"/>
      <c r="F32" s="46">
        <f>SUM(F29:F31)</f>
        <v>1280</v>
      </c>
      <c r="G32" s="48" t="s">
        <v>23</v>
      </c>
      <c r="H32" s="48" t="s">
        <v>23</v>
      </c>
      <c r="I32" s="47">
        <f>SUM(I29:I31)</f>
        <v>97699215</v>
      </c>
      <c r="J32" s="48" t="s">
        <v>23</v>
      </c>
      <c r="K32" s="48" t="s">
        <v>23</v>
      </c>
    </row>
    <row r="33" spans="2:11" s="13" customFormat="1" ht="16.5" customHeight="1" thickBot="1">
      <c r="B33" s="108" t="s">
        <v>1</v>
      </c>
      <c r="C33" s="108"/>
      <c r="D33" s="108"/>
      <c r="E33" s="109"/>
      <c r="F33" s="80">
        <f>F28+F32</f>
        <v>45104</v>
      </c>
      <c r="G33" s="81">
        <f>G28</f>
        <v>72144</v>
      </c>
      <c r="H33" s="81">
        <f>H28</f>
        <v>904717574</v>
      </c>
      <c r="I33" s="81">
        <f>I28+I32</f>
        <v>729901345</v>
      </c>
      <c r="J33" s="81">
        <f>J28</f>
        <v>234344844</v>
      </c>
      <c r="K33" s="81">
        <f>K28</f>
        <v>38170600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6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14" activePane="bottomRight" state="frozen"/>
      <selection pane="topRight" activeCell="F1" sqref="F1"/>
      <selection pane="bottomLeft" activeCell="A5" sqref="A5"/>
      <selection pane="bottomRight" activeCell="F13" sqref="F13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1.1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76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48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67">
        <v>13632</v>
      </c>
      <c r="G5" s="68">
        <v>204179</v>
      </c>
      <c r="H5" s="68">
        <v>7669407111</v>
      </c>
      <c r="I5" s="69" t="s">
        <v>23</v>
      </c>
      <c r="J5" s="69" t="s">
        <v>23</v>
      </c>
      <c r="K5" s="69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67">
        <v>727359</v>
      </c>
      <c r="G6" s="68">
        <v>1213452</v>
      </c>
      <c r="H6" s="68">
        <v>10421119929</v>
      </c>
      <c r="I6" s="69" t="s">
        <v>23</v>
      </c>
      <c r="J6" s="69" t="s">
        <v>23</v>
      </c>
      <c r="K6" s="69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67">
        <v>179533</v>
      </c>
      <c r="G7" s="68">
        <v>320601</v>
      </c>
      <c r="H7" s="68">
        <v>2189245616</v>
      </c>
      <c r="I7" s="69" t="s">
        <v>23</v>
      </c>
      <c r="J7" s="69" t="s">
        <v>23</v>
      </c>
      <c r="K7" s="69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67">
        <v>379596</v>
      </c>
      <c r="G8" s="70">
        <v>470062</v>
      </c>
      <c r="H8" s="68">
        <v>4555071336</v>
      </c>
      <c r="I8" s="69" t="s">
        <v>23</v>
      </c>
      <c r="J8" s="69" t="s">
        <v>23</v>
      </c>
      <c r="K8" s="69" t="s">
        <v>23</v>
      </c>
    </row>
    <row r="9" spans="2:11" s="13" customFormat="1" ht="16.5" customHeight="1">
      <c r="B9" s="11"/>
      <c r="C9" s="10"/>
      <c r="D9" s="11"/>
      <c r="E9" s="77" t="s">
        <v>22</v>
      </c>
      <c r="F9" s="67">
        <f>SUM(F5:F8)</f>
        <v>1300120</v>
      </c>
      <c r="G9" s="68">
        <f>SUM(G5:G8)</f>
        <v>2208294</v>
      </c>
      <c r="H9" s="68">
        <f>SUM(H5:H8)</f>
        <v>24834843992</v>
      </c>
      <c r="I9" s="68">
        <v>18101221951</v>
      </c>
      <c r="J9" s="68">
        <v>5455194162</v>
      </c>
      <c r="K9" s="68">
        <v>1278427879</v>
      </c>
    </row>
    <row r="10" spans="2:11" s="13" customFormat="1" ht="16.5" customHeight="1">
      <c r="B10" s="12"/>
      <c r="C10" s="12" t="s">
        <v>9</v>
      </c>
      <c r="D10" s="12"/>
      <c r="E10" s="11"/>
      <c r="F10" s="67">
        <v>33128</v>
      </c>
      <c r="G10" s="69" t="s">
        <v>49</v>
      </c>
      <c r="H10" s="68">
        <v>289251384</v>
      </c>
      <c r="I10" s="68">
        <v>210534722</v>
      </c>
      <c r="J10" s="68">
        <v>53925184</v>
      </c>
      <c r="K10" s="68">
        <v>24791478</v>
      </c>
    </row>
    <row r="11" spans="2:11" s="13" customFormat="1" ht="16.5" customHeight="1">
      <c r="B11" s="110" t="s">
        <v>19</v>
      </c>
      <c r="C11" s="110"/>
      <c r="D11" s="110"/>
      <c r="E11" s="107"/>
      <c r="F11" s="67">
        <f t="shared" ref="F11:K11" si="0">F9+F10</f>
        <v>1333248</v>
      </c>
      <c r="G11" s="68">
        <f t="shared" si="0"/>
        <v>2208294</v>
      </c>
      <c r="H11" s="68">
        <f t="shared" si="0"/>
        <v>25124095376</v>
      </c>
      <c r="I11" s="68">
        <f t="shared" si="0"/>
        <v>18311756673</v>
      </c>
      <c r="J11" s="68">
        <f t="shared" si="0"/>
        <v>5509119346</v>
      </c>
      <c r="K11" s="68">
        <f t="shared" si="0"/>
        <v>1303219357</v>
      </c>
    </row>
    <row r="12" spans="2:11" s="13" customFormat="1" ht="16.5" customHeight="1">
      <c r="C12" s="12" t="s">
        <v>10</v>
      </c>
      <c r="D12" s="12"/>
      <c r="F12" s="67">
        <v>394</v>
      </c>
      <c r="G12" s="69" t="s">
        <v>49</v>
      </c>
      <c r="H12" s="69" t="s">
        <v>49</v>
      </c>
      <c r="I12" s="68">
        <v>165008570</v>
      </c>
      <c r="J12" s="69" t="s">
        <v>23</v>
      </c>
      <c r="K12" s="69" t="s">
        <v>23</v>
      </c>
    </row>
    <row r="13" spans="2:11" s="13" customFormat="1" ht="16.5" customHeight="1">
      <c r="C13" s="12" t="s">
        <v>11</v>
      </c>
      <c r="D13" s="12"/>
      <c r="F13" s="67">
        <v>432</v>
      </c>
      <c r="G13" s="69" t="s">
        <v>49</v>
      </c>
      <c r="H13" s="69" t="s">
        <v>49</v>
      </c>
      <c r="I13" s="68">
        <v>21600000</v>
      </c>
      <c r="J13" s="69" t="s">
        <v>23</v>
      </c>
      <c r="K13" s="69" t="s">
        <v>23</v>
      </c>
    </row>
    <row r="14" spans="2:11" s="13" customFormat="1" ht="16.5" customHeight="1">
      <c r="C14" s="12" t="s">
        <v>12</v>
      </c>
      <c r="D14" s="12"/>
      <c r="F14" s="67">
        <v>35016</v>
      </c>
      <c r="G14" s="69" t="s">
        <v>23</v>
      </c>
      <c r="H14" s="69" t="s">
        <v>23</v>
      </c>
      <c r="I14" s="68">
        <v>2055095211</v>
      </c>
      <c r="J14" s="69" t="s">
        <v>23</v>
      </c>
      <c r="K14" s="69" t="s">
        <v>23</v>
      </c>
    </row>
    <row r="15" spans="2:11" s="13" customFormat="1" ht="16.5" customHeight="1">
      <c r="B15" s="106" t="s">
        <v>21</v>
      </c>
      <c r="C15" s="106"/>
      <c r="D15" s="106"/>
      <c r="E15" s="107"/>
      <c r="F15" s="67">
        <f>SUM(F12:F14)</f>
        <v>35842</v>
      </c>
      <c r="G15" s="69" t="s">
        <v>23</v>
      </c>
      <c r="H15" s="69" t="s">
        <v>23</v>
      </c>
      <c r="I15" s="68">
        <f>SUM(I12:I14)</f>
        <v>2241703781</v>
      </c>
      <c r="J15" s="69" t="s">
        <v>23</v>
      </c>
      <c r="K15" s="69" t="s">
        <v>23</v>
      </c>
    </row>
    <row r="16" spans="2:11" s="13" customFormat="1" ht="16.5" customHeight="1" thickBot="1">
      <c r="B16" s="108" t="s">
        <v>1</v>
      </c>
      <c r="C16" s="108"/>
      <c r="D16" s="108"/>
      <c r="E16" s="109"/>
      <c r="F16" s="78">
        <f>F11+F15</f>
        <v>1369090</v>
      </c>
      <c r="G16" s="79">
        <f>G11</f>
        <v>2208294</v>
      </c>
      <c r="H16" s="79">
        <f>H11</f>
        <v>25124095376</v>
      </c>
      <c r="I16" s="79">
        <f>I11+I15</f>
        <v>20553460454</v>
      </c>
      <c r="J16" s="79">
        <f>J11</f>
        <v>5509119346</v>
      </c>
      <c r="K16" s="79">
        <f>K11</f>
        <v>1303219357</v>
      </c>
    </row>
    <row r="17" spans="2:11" s="3" customFormat="1" ht="4.5" customHeight="1">
      <c r="F17" s="62"/>
      <c r="G17" s="62"/>
      <c r="H17" s="62"/>
      <c r="I17" s="62"/>
      <c r="J17" s="62"/>
      <c r="K17" s="62"/>
    </row>
    <row r="18" spans="2:11" s="3" customFormat="1" ht="4.5" customHeight="1">
      <c r="F18" s="62"/>
      <c r="G18" s="62"/>
      <c r="H18" s="62"/>
      <c r="I18" s="62"/>
      <c r="J18" s="62"/>
      <c r="K18" s="62"/>
    </row>
    <row r="19" spans="2:11" s="3" customFormat="1" ht="12.75" customHeight="1">
      <c r="B19" s="14" t="s">
        <v>2</v>
      </c>
      <c r="C19" s="7"/>
      <c r="D19" s="7"/>
      <c r="E19" s="7"/>
      <c r="F19" s="73"/>
      <c r="G19" s="62"/>
      <c r="H19" s="62"/>
      <c r="I19" s="62"/>
      <c r="J19" s="62"/>
      <c r="K19" s="63" t="s">
        <v>48</v>
      </c>
    </row>
    <row r="20" spans="2:11" s="3" customFormat="1" ht="4.5" customHeight="1" thickBot="1">
      <c r="B20" s="4"/>
      <c r="C20" s="4"/>
      <c r="D20" s="4"/>
      <c r="E20" s="4"/>
      <c r="F20" s="64"/>
      <c r="G20" s="64"/>
      <c r="H20" s="64"/>
      <c r="I20" s="64"/>
      <c r="J20" s="64"/>
      <c r="K20" s="64"/>
    </row>
    <row r="21" spans="2:11" s="3" customFormat="1" ht="26.4">
      <c r="B21" s="99" t="s">
        <v>5</v>
      </c>
      <c r="C21" s="99"/>
      <c r="D21" s="99"/>
      <c r="E21" s="100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67">
        <v>653</v>
      </c>
      <c r="G22" s="68">
        <v>8410</v>
      </c>
      <c r="H22" s="68">
        <v>395852069</v>
      </c>
      <c r="I22" s="69" t="s">
        <v>23</v>
      </c>
      <c r="J22" s="69" t="s">
        <v>23</v>
      </c>
      <c r="K22" s="69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67">
        <v>38232</v>
      </c>
      <c r="G23" s="68">
        <v>65737</v>
      </c>
      <c r="H23" s="68">
        <v>666299361</v>
      </c>
      <c r="I23" s="69" t="s">
        <v>23</v>
      </c>
      <c r="J23" s="69" t="s">
        <v>23</v>
      </c>
      <c r="K23" s="69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67">
        <v>9816</v>
      </c>
      <c r="G24" s="68">
        <v>17570</v>
      </c>
      <c r="H24" s="68">
        <v>117870950</v>
      </c>
      <c r="I24" s="69" t="s">
        <v>23</v>
      </c>
      <c r="J24" s="69" t="s">
        <v>23</v>
      </c>
      <c r="K24" s="69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67">
        <v>20306</v>
      </c>
      <c r="G25" s="68">
        <v>25336</v>
      </c>
      <c r="H25" s="68">
        <v>263138415</v>
      </c>
      <c r="I25" s="69" t="s">
        <v>23</v>
      </c>
      <c r="J25" s="69" t="s">
        <v>23</v>
      </c>
      <c r="K25" s="69" t="s">
        <v>23</v>
      </c>
    </row>
    <row r="26" spans="2:11" s="13" customFormat="1" ht="16.5" customHeight="1">
      <c r="B26" s="11"/>
      <c r="C26" s="10"/>
      <c r="D26" s="11"/>
      <c r="E26" s="77" t="s">
        <v>22</v>
      </c>
      <c r="F26" s="67">
        <f>SUM(F22:F25)</f>
        <v>69007</v>
      </c>
      <c r="G26" s="68">
        <f>SUM(G22:G25)</f>
        <v>117053</v>
      </c>
      <c r="H26" s="68">
        <f>SUM(H22:H25)</f>
        <v>1443160795</v>
      </c>
      <c r="I26" s="68">
        <v>1009380335</v>
      </c>
      <c r="J26" s="68">
        <v>380927063</v>
      </c>
      <c r="K26" s="68">
        <v>52853397</v>
      </c>
    </row>
    <row r="27" spans="2:11" s="13" customFormat="1" ht="16.5" customHeight="1">
      <c r="B27" s="12"/>
      <c r="C27" s="12" t="s">
        <v>9</v>
      </c>
      <c r="D27" s="12"/>
      <c r="E27" s="11"/>
      <c r="F27" s="67">
        <v>1542</v>
      </c>
      <c r="G27" s="69" t="s">
        <v>23</v>
      </c>
      <c r="H27" s="68">
        <v>14414021</v>
      </c>
      <c r="I27" s="68">
        <v>10108068</v>
      </c>
      <c r="J27" s="68">
        <v>3436598</v>
      </c>
      <c r="K27" s="68">
        <v>869355</v>
      </c>
    </row>
    <row r="28" spans="2:11" s="13" customFormat="1" ht="16.5" customHeight="1">
      <c r="B28" s="110" t="s">
        <v>20</v>
      </c>
      <c r="C28" s="110"/>
      <c r="D28" s="110"/>
      <c r="E28" s="107"/>
      <c r="F28" s="67">
        <f>F26+F27</f>
        <v>70549</v>
      </c>
      <c r="G28" s="68">
        <f>G26</f>
        <v>117053</v>
      </c>
      <c r="H28" s="68">
        <f>H26+H27</f>
        <v>1457574816</v>
      </c>
      <c r="I28" s="68">
        <f>I26+I27</f>
        <v>1019488403</v>
      </c>
      <c r="J28" s="68">
        <f>J26+J27</f>
        <v>384363661</v>
      </c>
      <c r="K28" s="68">
        <f>K26+K27</f>
        <v>53722752</v>
      </c>
    </row>
    <row r="29" spans="2:11" s="13" customFormat="1" ht="16.5" customHeight="1">
      <c r="C29" s="12" t="s">
        <v>10</v>
      </c>
      <c r="D29" s="12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13" customFormat="1" ht="16.5" customHeight="1">
      <c r="C30" s="12" t="s">
        <v>11</v>
      </c>
      <c r="D30" s="12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13" customFormat="1" ht="16.5" customHeight="1">
      <c r="C31" s="12" t="s">
        <v>12</v>
      </c>
      <c r="D31" s="12"/>
      <c r="F31" s="67">
        <v>1816</v>
      </c>
      <c r="G31" s="69" t="s">
        <v>23</v>
      </c>
      <c r="H31" s="69" t="s">
        <v>23</v>
      </c>
      <c r="I31" s="68">
        <v>156737984</v>
      </c>
      <c r="J31" s="69" t="s">
        <v>23</v>
      </c>
      <c r="K31" s="69" t="s">
        <v>23</v>
      </c>
    </row>
    <row r="32" spans="2:11" s="13" customFormat="1" ht="16.5" customHeight="1">
      <c r="B32" s="106" t="s">
        <v>21</v>
      </c>
      <c r="C32" s="106"/>
      <c r="D32" s="106"/>
      <c r="E32" s="107"/>
      <c r="F32" s="67">
        <f>SUM(F29:F31)</f>
        <v>1816</v>
      </c>
      <c r="G32" s="69" t="s">
        <v>23</v>
      </c>
      <c r="H32" s="69" t="s">
        <v>23</v>
      </c>
      <c r="I32" s="68">
        <f>SUM(I29:I31)</f>
        <v>156737984</v>
      </c>
      <c r="J32" s="69" t="s">
        <v>23</v>
      </c>
      <c r="K32" s="69" t="s">
        <v>23</v>
      </c>
    </row>
    <row r="33" spans="2:11" s="13" customFormat="1" ht="16.5" customHeight="1" thickBot="1">
      <c r="B33" s="108" t="s">
        <v>1</v>
      </c>
      <c r="C33" s="108"/>
      <c r="D33" s="108"/>
      <c r="E33" s="109"/>
      <c r="F33" s="78">
        <f>F28+F32</f>
        <v>72365</v>
      </c>
      <c r="G33" s="79">
        <f>G28</f>
        <v>117053</v>
      </c>
      <c r="H33" s="79">
        <f>H28</f>
        <v>1457574816</v>
      </c>
      <c r="I33" s="79">
        <f>I28+I32</f>
        <v>1176226387</v>
      </c>
      <c r="J33" s="79">
        <f>J28</f>
        <v>384363661</v>
      </c>
      <c r="K33" s="79">
        <f>K28</f>
        <v>53722752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6" orientation="portrait" r:id="rId1"/>
  <headerFooter alignWithMargins="0"/>
  <ignoredErrors>
    <ignoredError sqref="I33 I16 G28" formula="1"/>
    <ignoredError sqref="F15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23" activePane="bottomRight" state="frozen"/>
      <selection pane="topRight" activeCell="F1" sqref="F1"/>
      <selection pane="bottomLeft" activeCell="A5" sqref="A5"/>
      <selection pane="bottomRight" activeCell="F33" sqref="F33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1.1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s="3" customFormat="1" ht="13.2">
      <c r="B2" s="9" t="s">
        <v>0</v>
      </c>
      <c r="C2" s="2"/>
      <c r="D2" s="2"/>
      <c r="F2" s="62"/>
      <c r="G2" s="62"/>
      <c r="H2" s="62"/>
      <c r="I2" s="62"/>
      <c r="J2" s="62"/>
      <c r="K2" s="63" t="s">
        <v>47</v>
      </c>
    </row>
    <row r="3" spans="2:11" s="3" customFormat="1" ht="4.5" customHeight="1" thickBot="1">
      <c r="B3" s="4"/>
      <c r="C3" s="4"/>
      <c r="D3" s="4"/>
      <c r="E3" s="4"/>
      <c r="F3" s="64"/>
      <c r="G3" s="64"/>
      <c r="H3" s="64"/>
      <c r="I3" s="64"/>
      <c r="J3" s="64"/>
      <c r="K3" s="64"/>
    </row>
    <row r="4" spans="2:11" s="3" customFormat="1" ht="29.25" customHeight="1">
      <c r="B4" s="99" t="s">
        <v>5</v>
      </c>
      <c r="C4" s="99"/>
      <c r="D4" s="99"/>
      <c r="E4" s="100"/>
      <c r="F4" s="65" t="s">
        <v>3</v>
      </c>
      <c r="G4" s="65" t="s">
        <v>4</v>
      </c>
      <c r="H4" s="65" t="s">
        <v>6</v>
      </c>
      <c r="I4" s="66" t="s">
        <v>17</v>
      </c>
      <c r="J4" s="66" t="s">
        <v>18</v>
      </c>
      <c r="K4" s="6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67">
        <v>13507</v>
      </c>
      <c r="G5" s="68">
        <v>199808</v>
      </c>
      <c r="H5" s="68">
        <v>7525430113</v>
      </c>
      <c r="I5" s="69" t="s">
        <v>23</v>
      </c>
      <c r="J5" s="69" t="s">
        <v>23</v>
      </c>
      <c r="K5" s="69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67">
        <v>723323</v>
      </c>
      <c r="G6" s="68">
        <v>1208978</v>
      </c>
      <c r="H6" s="68">
        <v>9898540446</v>
      </c>
      <c r="I6" s="69" t="s">
        <v>23</v>
      </c>
      <c r="J6" s="69" t="s">
        <v>23</v>
      </c>
      <c r="K6" s="69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67">
        <v>176184</v>
      </c>
      <c r="G7" s="68">
        <v>323190</v>
      </c>
      <c r="H7" s="68">
        <v>2196178460</v>
      </c>
      <c r="I7" s="69" t="s">
        <v>23</v>
      </c>
      <c r="J7" s="69" t="s">
        <v>23</v>
      </c>
      <c r="K7" s="69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67">
        <v>374292</v>
      </c>
      <c r="G8" s="70">
        <v>468379</v>
      </c>
      <c r="H8" s="68">
        <v>4266859900</v>
      </c>
      <c r="I8" s="69" t="s">
        <v>23</v>
      </c>
      <c r="J8" s="69" t="s">
        <v>23</v>
      </c>
      <c r="K8" s="69" t="s">
        <v>23</v>
      </c>
    </row>
    <row r="9" spans="2:11" s="13" customFormat="1" ht="16.5" customHeight="1">
      <c r="B9" s="11"/>
      <c r="C9" s="10"/>
      <c r="D9" s="11"/>
      <c r="E9" s="16" t="s">
        <v>22</v>
      </c>
      <c r="F9" s="71">
        <f>SUM(F5:F8)</f>
        <v>1287306</v>
      </c>
      <c r="G9" s="72">
        <f>SUM(G5:G8)</f>
        <v>2200355</v>
      </c>
      <c r="H9" s="72">
        <f>SUM(H5:H8)</f>
        <v>23887008919</v>
      </c>
      <c r="I9" s="72">
        <v>17412663329</v>
      </c>
      <c r="J9" s="72">
        <v>5118820555</v>
      </c>
      <c r="K9" s="72">
        <v>1355525035</v>
      </c>
    </row>
    <row r="10" spans="2:11" s="13" customFormat="1" ht="16.5" customHeight="1">
      <c r="B10" s="12"/>
      <c r="C10" s="12" t="s">
        <v>9</v>
      </c>
      <c r="D10" s="12"/>
      <c r="E10" s="11"/>
      <c r="F10" s="67">
        <v>31668</v>
      </c>
      <c r="G10" s="69" t="s">
        <v>23</v>
      </c>
      <c r="H10" s="68">
        <v>286231632</v>
      </c>
      <c r="I10" s="68">
        <v>208173775</v>
      </c>
      <c r="J10" s="68">
        <v>55971600</v>
      </c>
      <c r="K10" s="68">
        <v>22086257</v>
      </c>
    </row>
    <row r="11" spans="2:11" s="13" customFormat="1" ht="16.5" customHeight="1">
      <c r="B11" s="117" t="s">
        <v>19</v>
      </c>
      <c r="C11" s="117"/>
      <c r="D11" s="117"/>
      <c r="E11" s="114"/>
      <c r="F11" s="71">
        <f>F9+F10</f>
        <v>1318974</v>
      </c>
      <c r="G11" s="72">
        <f>G9</f>
        <v>2200355</v>
      </c>
      <c r="H11" s="72">
        <f>H9+H10</f>
        <v>24173240551</v>
      </c>
      <c r="I11" s="72">
        <f>I9+I10</f>
        <v>17620837104</v>
      </c>
      <c r="J11" s="72">
        <f>J9+J10</f>
        <v>5174792155</v>
      </c>
      <c r="K11" s="72">
        <f>K9+K10</f>
        <v>1377611292</v>
      </c>
    </row>
    <row r="12" spans="2:11" s="13" customFormat="1" ht="16.5" customHeight="1">
      <c r="C12" s="12" t="s">
        <v>10</v>
      </c>
      <c r="D12" s="12"/>
      <c r="F12" s="67">
        <v>388</v>
      </c>
      <c r="G12" s="69" t="s">
        <v>23</v>
      </c>
      <c r="H12" s="69" t="s">
        <v>23</v>
      </c>
      <c r="I12" s="68">
        <v>162434000</v>
      </c>
      <c r="J12" s="69" t="s">
        <v>23</v>
      </c>
      <c r="K12" s="69" t="s">
        <v>23</v>
      </c>
    </row>
    <row r="13" spans="2:11" s="13" customFormat="1" ht="16.5" customHeight="1">
      <c r="C13" s="12" t="s">
        <v>11</v>
      </c>
      <c r="D13" s="12"/>
      <c r="F13" s="67">
        <v>413</v>
      </c>
      <c r="G13" s="69" t="s">
        <v>23</v>
      </c>
      <c r="H13" s="69" t="s">
        <v>23</v>
      </c>
      <c r="I13" s="68">
        <v>20650000</v>
      </c>
      <c r="J13" s="69" t="s">
        <v>23</v>
      </c>
      <c r="K13" s="69" t="s">
        <v>23</v>
      </c>
    </row>
    <row r="14" spans="2:11" s="13" customFormat="1" ht="16.5" customHeight="1">
      <c r="C14" s="12" t="s">
        <v>12</v>
      </c>
      <c r="D14" s="12"/>
      <c r="F14" s="67">
        <v>31147</v>
      </c>
      <c r="G14" s="69" t="s">
        <v>23</v>
      </c>
      <c r="H14" s="69" t="s">
        <v>23</v>
      </c>
      <c r="I14" s="68">
        <v>1847946024</v>
      </c>
      <c r="J14" s="69" t="s">
        <v>23</v>
      </c>
      <c r="K14" s="69" t="s">
        <v>23</v>
      </c>
    </row>
    <row r="15" spans="2:11" s="13" customFormat="1" ht="16.5" customHeight="1">
      <c r="B15" s="113" t="s">
        <v>21</v>
      </c>
      <c r="C15" s="113"/>
      <c r="D15" s="113"/>
      <c r="E15" s="114"/>
      <c r="F15" s="71">
        <f>SUM(F12:F14)</f>
        <v>31948</v>
      </c>
      <c r="G15" s="69" t="s">
        <v>23</v>
      </c>
      <c r="H15" s="69" t="s">
        <v>23</v>
      </c>
      <c r="I15" s="72">
        <f>SUM(I12:I14)</f>
        <v>2031030024</v>
      </c>
      <c r="J15" s="69" t="s">
        <v>23</v>
      </c>
      <c r="K15" s="69" t="s">
        <v>23</v>
      </c>
    </row>
    <row r="16" spans="2:11" s="13" customFormat="1" ht="16.5" customHeight="1" thickBot="1">
      <c r="B16" s="115" t="s">
        <v>1</v>
      </c>
      <c r="C16" s="115"/>
      <c r="D16" s="115"/>
      <c r="E16" s="116"/>
      <c r="F16" s="17">
        <f>F11+F15</f>
        <v>1350922</v>
      </c>
      <c r="G16" s="18">
        <f>G11</f>
        <v>2200355</v>
      </c>
      <c r="H16" s="18">
        <f>H11</f>
        <v>24173240551</v>
      </c>
      <c r="I16" s="18">
        <f>I11+I15</f>
        <v>19651867128</v>
      </c>
      <c r="J16" s="18">
        <f>J11</f>
        <v>5174792155</v>
      </c>
      <c r="K16" s="18">
        <f>K11</f>
        <v>1377611292</v>
      </c>
    </row>
    <row r="17" spans="2:11" s="3" customFormat="1" ht="4.5" customHeight="1">
      <c r="F17" s="62"/>
      <c r="G17" s="62"/>
      <c r="H17" s="62"/>
      <c r="I17" s="62"/>
      <c r="J17" s="62"/>
      <c r="K17" s="62"/>
    </row>
    <row r="18" spans="2:11" s="3" customFormat="1" ht="4.5" customHeight="1">
      <c r="F18" s="62"/>
      <c r="G18" s="62"/>
      <c r="H18" s="62"/>
      <c r="I18" s="62"/>
      <c r="J18" s="62"/>
      <c r="K18" s="62"/>
    </row>
    <row r="19" spans="2:11" s="3" customFormat="1" ht="12.75" customHeight="1">
      <c r="B19" s="14" t="s">
        <v>2</v>
      </c>
      <c r="C19" s="7"/>
      <c r="D19" s="7"/>
      <c r="E19" s="7"/>
      <c r="F19" s="73"/>
      <c r="G19" s="62"/>
      <c r="H19" s="62"/>
      <c r="I19" s="62"/>
      <c r="J19" s="62"/>
      <c r="K19" s="63" t="s">
        <v>47</v>
      </c>
    </row>
    <row r="20" spans="2:11" s="3" customFormat="1" ht="4.5" customHeight="1" thickBot="1">
      <c r="B20" s="4"/>
      <c r="C20" s="4"/>
      <c r="D20" s="4"/>
      <c r="E20" s="4"/>
      <c r="F20" s="64"/>
      <c r="G20" s="64"/>
      <c r="H20" s="64"/>
      <c r="I20" s="64"/>
      <c r="J20" s="64"/>
      <c r="K20" s="64"/>
    </row>
    <row r="21" spans="2:11" s="3" customFormat="1" ht="26.4">
      <c r="B21" s="99" t="s">
        <v>5</v>
      </c>
      <c r="C21" s="99"/>
      <c r="D21" s="99"/>
      <c r="E21" s="100"/>
      <c r="F21" s="65" t="s">
        <v>3</v>
      </c>
      <c r="G21" s="65" t="s">
        <v>4</v>
      </c>
      <c r="H21" s="65" t="s">
        <v>6</v>
      </c>
      <c r="I21" s="66" t="s">
        <v>17</v>
      </c>
      <c r="J21" s="66" t="s">
        <v>18</v>
      </c>
      <c r="K21" s="66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67">
        <v>926</v>
      </c>
      <c r="G22" s="68">
        <v>12829</v>
      </c>
      <c r="H22" s="68">
        <v>566793932</v>
      </c>
      <c r="I22" s="69" t="s">
        <v>23</v>
      </c>
      <c r="J22" s="69" t="s">
        <v>23</v>
      </c>
      <c r="K22" s="69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67">
        <v>49304</v>
      </c>
      <c r="G23" s="68">
        <v>84053</v>
      </c>
      <c r="H23" s="68">
        <v>820989842</v>
      </c>
      <c r="I23" s="69" t="s">
        <v>23</v>
      </c>
      <c r="J23" s="69" t="s">
        <v>23</v>
      </c>
      <c r="K23" s="69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67">
        <v>13153</v>
      </c>
      <c r="G24" s="68">
        <v>24226</v>
      </c>
      <c r="H24" s="68">
        <v>159470200</v>
      </c>
      <c r="I24" s="69" t="s">
        <v>23</v>
      </c>
      <c r="J24" s="69" t="s">
        <v>23</v>
      </c>
      <c r="K24" s="69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67">
        <v>25324</v>
      </c>
      <c r="G25" s="68">
        <v>31933</v>
      </c>
      <c r="H25" s="68">
        <v>315739235</v>
      </c>
      <c r="I25" s="69" t="s">
        <v>23</v>
      </c>
      <c r="J25" s="69" t="s">
        <v>23</v>
      </c>
      <c r="K25" s="69" t="s">
        <v>23</v>
      </c>
    </row>
    <row r="26" spans="2:11" s="13" customFormat="1" ht="16.5" customHeight="1">
      <c r="B26" s="11"/>
      <c r="C26" s="10"/>
      <c r="D26" s="11"/>
      <c r="E26" s="16" t="s">
        <v>22</v>
      </c>
      <c r="F26" s="71">
        <f>SUM(F22:F25)</f>
        <v>88707</v>
      </c>
      <c r="G26" s="72">
        <f>SUM(G22:G25)</f>
        <v>153041</v>
      </c>
      <c r="H26" s="72">
        <f>SUM(H22:H25)</f>
        <v>1862993209</v>
      </c>
      <c r="I26" s="72">
        <v>1301058250</v>
      </c>
      <c r="J26" s="72">
        <v>491061979</v>
      </c>
      <c r="K26" s="72">
        <v>70872980</v>
      </c>
    </row>
    <row r="27" spans="2:11" s="13" customFormat="1" ht="16.5" customHeight="1">
      <c r="B27" s="12"/>
      <c r="C27" s="12" t="s">
        <v>9</v>
      </c>
      <c r="D27" s="12"/>
      <c r="E27" s="11"/>
      <c r="F27" s="67">
        <v>1992</v>
      </c>
      <c r="G27" s="69" t="s">
        <v>23</v>
      </c>
      <c r="H27" s="68">
        <v>18394868</v>
      </c>
      <c r="I27" s="68">
        <v>12879992</v>
      </c>
      <c r="J27" s="68">
        <v>4316925</v>
      </c>
      <c r="K27" s="68">
        <v>1197951</v>
      </c>
    </row>
    <row r="28" spans="2:11" s="13" customFormat="1" ht="16.5" customHeight="1">
      <c r="B28" s="117" t="s">
        <v>20</v>
      </c>
      <c r="C28" s="117"/>
      <c r="D28" s="117"/>
      <c r="E28" s="114"/>
      <c r="F28" s="71">
        <f>F26+F27</f>
        <v>90699</v>
      </c>
      <c r="G28" s="72">
        <f>G26</f>
        <v>153041</v>
      </c>
      <c r="H28" s="72">
        <f>H26+H27</f>
        <v>1881388077</v>
      </c>
      <c r="I28" s="72">
        <f>I26+I27</f>
        <v>1313938242</v>
      </c>
      <c r="J28" s="72">
        <f>J26+J27</f>
        <v>495378904</v>
      </c>
      <c r="K28" s="72">
        <f>K26+K27</f>
        <v>72070931</v>
      </c>
    </row>
    <row r="29" spans="2:11" s="13" customFormat="1" ht="16.5" customHeight="1">
      <c r="C29" s="12" t="s">
        <v>10</v>
      </c>
      <c r="D29" s="12"/>
      <c r="F29" s="74" t="s">
        <v>23</v>
      </c>
      <c r="G29" s="69" t="s">
        <v>23</v>
      </c>
      <c r="H29" s="69" t="s">
        <v>23</v>
      </c>
      <c r="I29" s="69" t="s">
        <v>23</v>
      </c>
      <c r="J29" s="69" t="s">
        <v>23</v>
      </c>
      <c r="K29" s="69" t="s">
        <v>23</v>
      </c>
    </row>
    <row r="30" spans="2:11" s="13" customFormat="1" ht="16.5" customHeight="1">
      <c r="C30" s="12" t="s">
        <v>11</v>
      </c>
      <c r="D30" s="12"/>
      <c r="F30" s="74" t="s">
        <v>23</v>
      </c>
      <c r="G30" s="69" t="s">
        <v>23</v>
      </c>
      <c r="H30" s="69" t="s">
        <v>23</v>
      </c>
      <c r="I30" s="69" t="s">
        <v>23</v>
      </c>
      <c r="J30" s="69" t="s">
        <v>23</v>
      </c>
      <c r="K30" s="69" t="s">
        <v>23</v>
      </c>
    </row>
    <row r="31" spans="2:11" s="13" customFormat="1" ht="16.5" customHeight="1">
      <c r="C31" s="12" t="s">
        <v>12</v>
      </c>
      <c r="D31" s="12"/>
      <c r="F31" s="67">
        <v>2166</v>
      </c>
      <c r="G31" s="69" t="s">
        <v>23</v>
      </c>
      <c r="H31" s="69" t="s">
        <v>23</v>
      </c>
      <c r="I31" s="68">
        <v>191433270</v>
      </c>
      <c r="J31" s="69" t="s">
        <v>23</v>
      </c>
      <c r="K31" s="69" t="s">
        <v>23</v>
      </c>
    </row>
    <row r="32" spans="2:11" s="13" customFormat="1" ht="16.5" customHeight="1">
      <c r="B32" s="113" t="s">
        <v>21</v>
      </c>
      <c r="C32" s="113"/>
      <c r="D32" s="113"/>
      <c r="E32" s="114"/>
      <c r="F32" s="71">
        <f>SUM(F29:F31)</f>
        <v>2166</v>
      </c>
      <c r="G32" s="69" t="s">
        <v>23</v>
      </c>
      <c r="H32" s="69" t="s">
        <v>23</v>
      </c>
      <c r="I32" s="72">
        <f>SUM(I29:I31)</f>
        <v>191433270</v>
      </c>
      <c r="J32" s="69" t="s">
        <v>23</v>
      </c>
      <c r="K32" s="69" t="s">
        <v>23</v>
      </c>
    </row>
    <row r="33" spans="2:11" s="13" customFormat="1" ht="16.5" customHeight="1" thickBot="1">
      <c r="B33" s="115" t="s">
        <v>1</v>
      </c>
      <c r="C33" s="115"/>
      <c r="D33" s="115"/>
      <c r="E33" s="116"/>
      <c r="F33" s="17">
        <f>F28+F32</f>
        <v>92865</v>
      </c>
      <c r="G33" s="18">
        <f>G28</f>
        <v>153041</v>
      </c>
      <c r="H33" s="18">
        <f>H28</f>
        <v>1881388077</v>
      </c>
      <c r="I33" s="18">
        <f>I28+I32</f>
        <v>1505371512</v>
      </c>
      <c r="J33" s="18">
        <f>J28</f>
        <v>495378904</v>
      </c>
      <c r="K33" s="18">
        <f>K28</f>
        <v>72070931</v>
      </c>
    </row>
    <row r="34" spans="2:11" s="3" customFormat="1" ht="4.5" customHeight="1">
      <c r="F34" s="62"/>
      <c r="G34" s="62"/>
      <c r="H34" s="62"/>
      <c r="I34" s="62"/>
      <c r="J34" s="62"/>
      <c r="K34" s="62"/>
    </row>
    <row r="35" spans="2:11" s="3" customFormat="1" ht="13.2">
      <c r="B35" s="15" t="s">
        <v>26</v>
      </c>
      <c r="C35" s="14"/>
      <c r="D35" s="14"/>
      <c r="E35" s="14"/>
      <c r="F35" s="62"/>
      <c r="G35" s="75"/>
      <c r="H35" s="62"/>
      <c r="I35" s="62"/>
      <c r="J35" s="62"/>
      <c r="K35" s="62"/>
    </row>
    <row r="36" spans="2:11" s="3" customFormat="1" ht="13.2">
      <c r="F36" s="62"/>
      <c r="G36" s="62"/>
      <c r="H36" s="62"/>
      <c r="I36" s="62"/>
      <c r="J36" s="62"/>
      <c r="K36" s="62"/>
    </row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H5" sqref="H5"/>
    </sheetView>
  </sheetViews>
  <sheetFormatPr defaultColWidth="8.59765625" defaultRowHeight="14.4"/>
  <cols>
    <col min="1" max="1" width="1.59765625" style="36" customWidth="1"/>
    <col min="2" max="2" width="2.796875" style="36" customWidth="1"/>
    <col min="3" max="3" width="2.796875" style="36" bestFit="1" customWidth="1"/>
    <col min="4" max="4" width="6.59765625" style="36" customWidth="1"/>
    <col min="5" max="5" width="14.296875" style="36" customWidth="1"/>
    <col min="6" max="6" width="11.19921875" style="36" bestFit="1" customWidth="1"/>
    <col min="7" max="7" width="11.19921875" style="36" customWidth="1"/>
    <col min="8" max="8" width="16.19921875" style="36" customWidth="1"/>
    <col min="9" max="9" width="17.296875" style="36" bestFit="1" customWidth="1"/>
    <col min="10" max="10" width="15.296875" style="36" customWidth="1"/>
    <col min="11" max="11" width="14.5" style="36" customWidth="1"/>
    <col min="12" max="16384" width="8.59765625" style="36"/>
  </cols>
  <sheetData>
    <row r="1" spans="2:11" ht="23.4">
      <c r="B1" s="35" t="s">
        <v>25</v>
      </c>
      <c r="C1" s="35"/>
      <c r="D1" s="35"/>
      <c r="E1" s="35"/>
      <c r="F1" s="35"/>
      <c r="G1" s="35"/>
      <c r="H1" s="35"/>
      <c r="I1" s="35"/>
      <c r="J1" s="35"/>
      <c r="K1" s="35"/>
    </row>
    <row r="2" spans="2:11" s="39" customFormat="1" ht="13.2">
      <c r="B2" s="37" t="s">
        <v>0</v>
      </c>
      <c r="C2" s="38"/>
      <c r="D2" s="38"/>
      <c r="K2" s="40" t="s">
        <v>46</v>
      </c>
    </row>
    <row r="3" spans="2:11" s="39" customFormat="1" ht="4.5" customHeight="1" thickBot="1"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2:11" s="39" customFormat="1" ht="29.25" customHeight="1">
      <c r="B4" s="122" t="s">
        <v>5</v>
      </c>
      <c r="C4" s="122"/>
      <c r="D4" s="122"/>
      <c r="E4" s="123"/>
      <c r="F4" s="42" t="s">
        <v>3</v>
      </c>
      <c r="G4" s="42" t="s">
        <v>4</v>
      </c>
      <c r="H4" s="42" t="s">
        <v>6</v>
      </c>
      <c r="I4" s="43" t="s">
        <v>17</v>
      </c>
      <c r="J4" s="43" t="s">
        <v>18</v>
      </c>
      <c r="K4" s="43" t="s">
        <v>7</v>
      </c>
    </row>
    <row r="5" spans="2:11" s="49" customFormat="1" ht="16.5" customHeight="1">
      <c r="B5" s="44"/>
      <c r="C5" s="37" t="s">
        <v>8</v>
      </c>
      <c r="D5" s="44"/>
      <c r="E5" s="45" t="s">
        <v>13</v>
      </c>
      <c r="F5" s="46">
        <v>13655</v>
      </c>
      <c r="G5" s="47">
        <v>209265</v>
      </c>
      <c r="H5" s="47">
        <v>7381225601</v>
      </c>
      <c r="I5" s="48" t="s">
        <v>23</v>
      </c>
      <c r="J5" s="48" t="s">
        <v>23</v>
      </c>
      <c r="K5" s="48" t="s">
        <v>23</v>
      </c>
    </row>
    <row r="6" spans="2:11" s="49" customFormat="1" ht="16.5" customHeight="1">
      <c r="B6" s="44"/>
      <c r="C6" s="50"/>
      <c r="D6" s="44"/>
      <c r="E6" s="45" t="s">
        <v>14</v>
      </c>
      <c r="F6" s="46">
        <v>718045</v>
      </c>
      <c r="G6" s="47">
        <v>1218173</v>
      </c>
      <c r="H6" s="47">
        <v>9757509150</v>
      </c>
      <c r="I6" s="48" t="s">
        <v>23</v>
      </c>
      <c r="J6" s="48" t="s">
        <v>23</v>
      </c>
      <c r="K6" s="48" t="s">
        <v>23</v>
      </c>
    </row>
    <row r="7" spans="2:11" s="49" customFormat="1" ht="16.5" customHeight="1">
      <c r="B7" s="44"/>
      <c r="C7" s="50"/>
      <c r="D7" s="44"/>
      <c r="E7" s="45" t="s">
        <v>15</v>
      </c>
      <c r="F7" s="46">
        <v>170477</v>
      </c>
      <c r="G7" s="47">
        <v>322876</v>
      </c>
      <c r="H7" s="47">
        <v>2155071630</v>
      </c>
      <c r="I7" s="48" t="s">
        <v>23</v>
      </c>
      <c r="J7" s="48" t="s">
        <v>23</v>
      </c>
      <c r="K7" s="48" t="s">
        <v>23</v>
      </c>
    </row>
    <row r="8" spans="2:11" s="49" customFormat="1" ht="16.5" customHeight="1">
      <c r="B8" s="44"/>
      <c r="C8" s="50"/>
      <c r="D8" s="44"/>
      <c r="E8" s="45" t="s">
        <v>16</v>
      </c>
      <c r="F8" s="46">
        <v>357242</v>
      </c>
      <c r="G8" s="51">
        <v>453379</v>
      </c>
      <c r="H8" s="47">
        <v>4111225608</v>
      </c>
      <c r="I8" s="48" t="s">
        <v>23</v>
      </c>
      <c r="J8" s="48" t="s">
        <v>23</v>
      </c>
      <c r="K8" s="48" t="s">
        <v>23</v>
      </c>
    </row>
    <row r="9" spans="2:11" s="49" customFormat="1" ht="16.5" customHeight="1">
      <c r="B9" s="44"/>
      <c r="C9" s="50"/>
      <c r="D9" s="44"/>
      <c r="E9" s="52" t="s">
        <v>22</v>
      </c>
      <c r="F9" s="53">
        <f>SUM(F5:F8)</f>
        <v>1259419</v>
      </c>
      <c r="G9" s="54">
        <f>SUM(G5:G8)</f>
        <v>2203693</v>
      </c>
      <c r="H9" s="54">
        <f>SUM(H5:H8)</f>
        <v>23405031989</v>
      </c>
      <c r="I9" s="54">
        <v>17038195260</v>
      </c>
      <c r="J9" s="54">
        <v>5001951018</v>
      </c>
      <c r="K9" s="54">
        <v>1364885711</v>
      </c>
    </row>
    <row r="10" spans="2:11" s="49" customFormat="1" ht="16.5" customHeight="1">
      <c r="B10" s="45"/>
      <c r="C10" s="45" t="s">
        <v>9</v>
      </c>
      <c r="D10" s="45"/>
      <c r="E10" s="44"/>
      <c r="F10" s="46">
        <v>31933</v>
      </c>
      <c r="G10" s="48" t="s">
        <v>23</v>
      </c>
      <c r="H10" s="47">
        <v>292096529</v>
      </c>
      <c r="I10" s="47">
        <v>212747851</v>
      </c>
      <c r="J10" s="47">
        <v>56517344</v>
      </c>
      <c r="K10" s="47">
        <v>22831334</v>
      </c>
    </row>
    <row r="11" spans="2:11" s="49" customFormat="1" ht="16.5" customHeight="1">
      <c r="B11" s="124" t="s">
        <v>19</v>
      </c>
      <c r="C11" s="124"/>
      <c r="D11" s="124"/>
      <c r="E11" s="119"/>
      <c r="F11" s="53">
        <f>F9+F10</f>
        <v>1291352</v>
      </c>
      <c r="G11" s="54">
        <f>G9</f>
        <v>2203693</v>
      </c>
      <c r="H11" s="54">
        <f>H9+H10</f>
        <v>23697128518</v>
      </c>
      <c r="I11" s="54">
        <f>I9+I10</f>
        <v>17250943111</v>
      </c>
      <c r="J11" s="54">
        <f>J9+J10</f>
        <v>5058468362</v>
      </c>
      <c r="K11" s="54">
        <f>K9+K10</f>
        <v>1387717045</v>
      </c>
    </row>
    <row r="12" spans="2:11" s="49" customFormat="1" ht="16.5" customHeight="1">
      <c r="C12" s="45" t="s">
        <v>10</v>
      </c>
      <c r="D12" s="45"/>
      <c r="F12" s="46">
        <v>440</v>
      </c>
      <c r="G12" s="48" t="s">
        <v>23</v>
      </c>
      <c r="H12" s="48" t="s">
        <v>23</v>
      </c>
      <c r="I12" s="47">
        <v>183837140</v>
      </c>
      <c r="J12" s="48" t="s">
        <v>23</v>
      </c>
      <c r="K12" s="48" t="s">
        <v>23</v>
      </c>
    </row>
    <row r="13" spans="2:11" s="49" customFormat="1" ht="16.5" customHeight="1">
      <c r="C13" s="45" t="s">
        <v>11</v>
      </c>
      <c r="D13" s="45"/>
      <c r="F13" s="46">
        <v>434</v>
      </c>
      <c r="G13" s="48" t="s">
        <v>23</v>
      </c>
      <c r="H13" s="48" t="s">
        <v>23</v>
      </c>
      <c r="I13" s="47">
        <v>21700000</v>
      </c>
      <c r="J13" s="48" t="s">
        <v>23</v>
      </c>
      <c r="K13" s="48" t="s">
        <v>23</v>
      </c>
    </row>
    <row r="14" spans="2:11" s="49" customFormat="1" ht="16.5" customHeight="1">
      <c r="C14" s="45" t="s">
        <v>12</v>
      </c>
      <c r="D14" s="45"/>
      <c r="F14" s="46">
        <v>30590</v>
      </c>
      <c r="G14" s="48" t="s">
        <v>23</v>
      </c>
      <c r="H14" s="48" t="s">
        <v>23</v>
      </c>
      <c r="I14" s="47">
        <v>1762289457</v>
      </c>
      <c r="J14" s="48" t="s">
        <v>23</v>
      </c>
      <c r="K14" s="48" t="s">
        <v>23</v>
      </c>
    </row>
    <row r="15" spans="2:11" s="49" customFormat="1" ht="16.5" customHeight="1">
      <c r="B15" s="118" t="s">
        <v>21</v>
      </c>
      <c r="C15" s="118"/>
      <c r="D15" s="118"/>
      <c r="E15" s="119"/>
      <c r="F15" s="53">
        <f>SUM(F12:F14)</f>
        <v>31464</v>
      </c>
      <c r="G15" s="48" t="s">
        <v>23</v>
      </c>
      <c r="H15" s="48" t="s">
        <v>23</v>
      </c>
      <c r="I15" s="54">
        <f>SUM(I12:I14)</f>
        <v>1967826597</v>
      </c>
      <c r="J15" s="48" t="s">
        <v>23</v>
      </c>
      <c r="K15" s="48" t="s">
        <v>23</v>
      </c>
    </row>
    <row r="16" spans="2:11" s="49" customFormat="1" ht="16.5" customHeight="1" thickBot="1">
      <c r="B16" s="120" t="s">
        <v>1</v>
      </c>
      <c r="C16" s="120"/>
      <c r="D16" s="120"/>
      <c r="E16" s="121"/>
      <c r="F16" s="55">
        <f>F11+F15</f>
        <v>1322816</v>
      </c>
      <c r="G16" s="56">
        <f>G11</f>
        <v>2203693</v>
      </c>
      <c r="H16" s="56">
        <f>H11</f>
        <v>23697128518</v>
      </c>
      <c r="I16" s="56">
        <f>I11+I15</f>
        <v>19218769708</v>
      </c>
      <c r="J16" s="56">
        <f>J11</f>
        <v>5058468362</v>
      </c>
      <c r="K16" s="56">
        <f>K11</f>
        <v>1387717045</v>
      </c>
    </row>
    <row r="17" spans="2:11" s="39" customFormat="1" ht="4.5" customHeight="1"/>
    <row r="18" spans="2:11" s="39" customFormat="1" ht="4.5" customHeight="1"/>
    <row r="19" spans="2:11" s="39" customFormat="1" ht="12.75" customHeight="1">
      <c r="B19" s="57" t="s">
        <v>2</v>
      </c>
      <c r="C19" s="58"/>
      <c r="D19" s="58"/>
      <c r="E19" s="58"/>
      <c r="F19" s="58"/>
      <c r="K19" s="40" t="s">
        <v>46</v>
      </c>
    </row>
    <row r="20" spans="2:11" s="39" customFormat="1" ht="4.5" customHeight="1" thickBot="1"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2:11" s="39" customFormat="1" ht="26.4">
      <c r="B21" s="122" t="s">
        <v>5</v>
      </c>
      <c r="C21" s="122"/>
      <c r="D21" s="122"/>
      <c r="E21" s="123"/>
      <c r="F21" s="42" t="s">
        <v>3</v>
      </c>
      <c r="G21" s="42" t="s">
        <v>4</v>
      </c>
      <c r="H21" s="42" t="s">
        <v>6</v>
      </c>
      <c r="I21" s="43" t="s">
        <v>17</v>
      </c>
      <c r="J21" s="43" t="s">
        <v>18</v>
      </c>
      <c r="K21" s="43" t="s">
        <v>7</v>
      </c>
    </row>
    <row r="22" spans="2:11" s="49" customFormat="1" ht="16.5" customHeight="1">
      <c r="B22" s="44"/>
      <c r="C22" s="37" t="s">
        <v>8</v>
      </c>
      <c r="D22" s="44"/>
      <c r="E22" s="45" t="s">
        <v>13</v>
      </c>
      <c r="F22" s="46">
        <v>1169</v>
      </c>
      <c r="G22" s="47">
        <v>17055</v>
      </c>
      <c r="H22" s="47">
        <v>652266832</v>
      </c>
      <c r="I22" s="48" t="s">
        <v>23</v>
      </c>
      <c r="J22" s="48" t="s">
        <v>23</v>
      </c>
      <c r="K22" s="48" t="s">
        <v>23</v>
      </c>
    </row>
    <row r="23" spans="2:11" s="49" customFormat="1" ht="16.5" customHeight="1">
      <c r="B23" s="44"/>
      <c r="C23" s="50"/>
      <c r="D23" s="44"/>
      <c r="E23" s="45" t="s">
        <v>14</v>
      </c>
      <c r="F23" s="46">
        <v>57790</v>
      </c>
      <c r="G23" s="47">
        <v>99400</v>
      </c>
      <c r="H23" s="47">
        <v>964103361</v>
      </c>
      <c r="I23" s="48" t="s">
        <v>23</v>
      </c>
      <c r="J23" s="48" t="s">
        <v>23</v>
      </c>
      <c r="K23" s="48" t="s">
        <v>23</v>
      </c>
    </row>
    <row r="24" spans="2:11" s="49" customFormat="1" ht="16.5" customHeight="1">
      <c r="B24" s="44"/>
      <c r="C24" s="50"/>
      <c r="D24" s="44"/>
      <c r="E24" s="45" t="s">
        <v>15</v>
      </c>
      <c r="F24" s="46">
        <v>14710</v>
      </c>
      <c r="G24" s="47">
        <v>28039</v>
      </c>
      <c r="H24" s="47">
        <v>179313850</v>
      </c>
      <c r="I24" s="48" t="s">
        <v>23</v>
      </c>
      <c r="J24" s="48" t="s">
        <v>23</v>
      </c>
      <c r="K24" s="48" t="s">
        <v>23</v>
      </c>
    </row>
    <row r="25" spans="2:11" s="49" customFormat="1" ht="16.5" customHeight="1">
      <c r="B25" s="44"/>
      <c r="C25" s="50"/>
      <c r="D25" s="44"/>
      <c r="E25" s="45" t="s">
        <v>16</v>
      </c>
      <c r="F25" s="46">
        <v>28747</v>
      </c>
      <c r="G25" s="47">
        <v>36524</v>
      </c>
      <c r="H25" s="47">
        <v>371238770</v>
      </c>
      <c r="I25" s="48" t="s">
        <v>23</v>
      </c>
      <c r="J25" s="48" t="s">
        <v>23</v>
      </c>
      <c r="K25" s="48" t="s">
        <v>23</v>
      </c>
    </row>
    <row r="26" spans="2:11" s="49" customFormat="1" ht="16.5" customHeight="1">
      <c r="B26" s="44"/>
      <c r="C26" s="50"/>
      <c r="D26" s="44"/>
      <c r="E26" s="52" t="s">
        <v>22</v>
      </c>
      <c r="F26" s="53">
        <f>SUM(F22:F25)</f>
        <v>102416</v>
      </c>
      <c r="G26" s="54">
        <f>SUM(G22:G25)</f>
        <v>181018</v>
      </c>
      <c r="H26" s="54">
        <f>SUM(H22:H25)</f>
        <v>2166922813</v>
      </c>
      <c r="I26" s="54">
        <v>1515126364</v>
      </c>
      <c r="J26" s="54">
        <v>570493096</v>
      </c>
      <c r="K26" s="54">
        <v>81303353</v>
      </c>
    </row>
    <row r="27" spans="2:11" s="49" customFormat="1" ht="16.5" customHeight="1">
      <c r="B27" s="45"/>
      <c r="C27" s="45" t="s">
        <v>9</v>
      </c>
      <c r="D27" s="45"/>
      <c r="E27" s="44"/>
      <c r="F27" s="46">
        <v>2199</v>
      </c>
      <c r="G27" s="48" t="s">
        <v>23</v>
      </c>
      <c r="H27" s="47">
        <v>20473248</v>
      </c>
      <c r="I27" s="47">
        <v>14330386</v>
      </c>
      <c r="J27" s="47">
        <v>4793618</v>
      </c>
      <c r="K27" s="47">
        <v>1349244</v>
      </c>
    </row>
    <row r="28" spans="2:11" s="49" customFormat="1" ht="16.5" customHeight="1">
      <c r="B28" s="124" t="s">
        <v>20</v>
      </c>
      <c r="C28" s="124"/>
      <c r="D28" s="124"/>
      <c r="E28" s="119"/>
      <c r="F28" s="53">
        <f>F26+F27</f>
        <v>104615</v>
      </c>
      <c r="G28" s="54">
        <f>G26</f>
        <v>181018</v>
      </c>
      <c r="H28" s="54">
        <f>H26+H27</f>
        <v>2187396061</v>
      </c>
      <c r="I28" s="54">
        <f>I26+I27</f>
        <v>1529456750</v>
      </c>
      <c r="J28" s="54">
        <f>J26+J27</f>
        <v>575286714</v>
      </c>
      <c r="K28" s="54">
        <f>K26+K27</f>
        <v>82652597</v>
      </c>
    </row>
    <row r="29" spans="2:11" s="49" customFormat="1" ht="16.5" customHeight="1">
      <c r="C29" s="45" t="s">
        <v>10</v>
      </c>
      <c r="D29" s="45"/>
      <c r="F29" s="59" t="s">
        <v>23</v>
      </c>
      <c r="G29" s="48" t="s">
        <v>23</v>
      </c>
      <c r="H29" s="48" t="s">
        <v>23</v>
      </c>
      <c r="I29" s="48" t="s">
        <v>23</v>
      </c>
      <c r="J29" s="48" t="s">
        <v>23</v>
      </c>
      <c r="K29" s="48" t="s">
        <v>23</v>
      </c>
    </row>
    <row r="30" spans="2:11" s="49" customFormat="1" ht="16.5" customHeight="1">
      <c r="C30" s="45" t="s">
        <v>11</v>
      </c>
      <c r="D30" s="45"/>
      <c r="F30" s="59" t="s">
        <v>23</v>
      </c>
      <c r="G30" s="48" t="s">
        <v>23</v>
      </c>
      <c r="H30" s="48" t="s">
        <v>23</v>
      </c>
      <c r="I30" s="48" t="s">
        <v>23</v>
      </c>
      <c r="J30" s="48" t="s">
        <v>23</v>
      </c>
      <c r="K30" s="48" t="s">
        <v>23</v>
      </c>
    </row>
    <row r="31" spans="2:11" s="49" customFormat="1" ht="16.5" customHeight="1">
      <c r="C31" s="45" t="s">
        <v>12</v>
      </c>
      <c r="D31" s="45"/>
      <c r="F31" s="46">
        <v>2520</v>
      </c>
      <c r="G31" s="48" t="s">
        <v>23</v>
      </c>
      <c r="H31" s="48" t="s">
        <v>23</v>
      </c>
      <c r="I31" s="47">
        <v>196609650</v>
      </c>
      <c r="J31" s="48" t="s">
        <v>23</v>
      </c>
      <c r="K31" s="48" t="s">
        <v>23</v>
      </c>
    </row>
    <row r="32" spans="2:11" s="49" customFormat="1" ht="16.5" customHeight="1">
      <c r="B32" s="118" t="s">
        <v>21</v>
      </c>
      <c r="C32" s="118"/>
      <c r="D32" s="118"/>
      <c r="E32" s="119"/>
      <c r="F32" s="53">
        <f>SUM(F29:F31)</f>
        <v>2520</v>
      </c>
      <c r="G32" s="48" t="s">
        <v>23</v>
      </c>
      <c r="H32" s="48" t="s">
        <v>23</v>
      </c>
      <c r="I32" s="54">
        <f>SUM(I29:I31)</f>
        <v>196609650</v>
      </c>
      <c r="J32" s="48" t="s">
        <v>23</v>
      </c>
      <c r="K32" s="48" t="s">
        <v>23</v>
      </c>
    </row>
    <row r="33" spans="2:11" s="49" customFormat="1" ht="16.5" customHeight="1" thickBot="1">
      <c r="B33" s="120" t="s">
        <v>1</v>
      </c>
      <c r="C33" s="120"/>
      <c r="D33" s="120"/>
      <c r="E33" s="121"/>
      <c r="F33" s="55">
        <f>F28+F32</f>
        <v>107135</v>
      </c>
      <c r="G33" s="56">
        <f>G28</f>
        <v>181018</v>
      </c>
      <c r="H33" s="56">
        <f>H28</f>
        <v>2187396061</v>
      </c>
      <c r="I33" s="56">
        <f>I28+I32</f>
        <v>1726066400</v>
      </c>
      <c r="J33" s="56">
        <f>J28</f>
        <v>575286714</v>
      </c>
      <c r="K33" s="56">
        <f>K28</f>
        <v>82652597</v>
      </c>
    </row>
    <row r="34" spans="2:11" s="39" customFormat="1" ht="4.5" customHeight="1"/>
    <row r="35" spans="2:11" s="39" customFormat="1" ht="13.2">
      <c r="B35" s="60" t="s">
        <v>26</v>
      </c>
      <c r="C35" s="57"/>
      <c r="D35" s="57"/>
      <c r="E35" s="57"/>
      <c r="G35" s="61"/>
    </row>
    <row r="36" spans="2:11" s="39" customFormat="1" ht="13.2"/>
    <row r="37" spans="2:11" s="39" customFormat="1" ht="13.2"/>
    <row r="38" spans="2:11" s="39" customFormat="1" ht="13.2"/>
    <row r="39" spans="2:11" s="39" customFormat="1" ht="13.2"/>
    <row r="40" spans="2:11" s="39" customFormat="1" ht="13.2"/>
    <row r="41" spans="2:11" s="39" customFormat="1" ht="13.2"/>
    <row r="42" spans="2:11" s="39" customFormat="1" ht="13.2"/>
    <row r="43" spans="2:11" s="39" customFormat="1" ht="13.2"/>
    <row r="44" spans="2:11" s="39" customFormat="1" ht="13.2"/>
    <row r="45" spans="2:11" s="39" customFormat="1" ht="13.2"/>
    <row r="46" spans="2:11" s="39" customFormat="1" ht="13.2"/>
    <row r="47" spans="2:11" s="39" customFormat="1" ht="13.2"/>
    <row r="48" spans="2:11" s="39" customFormat="1" ht="13.2"/>
    <row r="49" s="39" customFormat="1" ht="13.2"/>
    <row r="50" s="39" customFormat="1" ht="13.2"/>
    <row r="51" s="39" customFormat="1" ht="13.2"/>
  </sheetData>
  <mergeCells count="8">
    <mergeCell ref="B32:E32"/>
    <mergeCell ref="B33:E33"/>
    <mergeCell ref="B4:E4"/>
    <mergeCell ref="B11:E11"/>
    <mergeCell ref="B15:E15"/>
    <mergeCell ref="B16:E16"/>
    <mergeCell ref="B21:E21"/>
    <mergeCell ref="B28:E28"/>
  </mergeCells>
  <phoneticPr fontId="12"/>
  <pageMargins left="0.5" right="0.5" top="1.01" bottom="0.5" header="0.85" footer="0.51200000000000001"/>
  <pageSetup paperSize="9" scale="76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H6" sqref="H6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1.1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s="3" customFormat="1" ht="13.2">
      <c r="B2" s="9" t="s">
        <v>0</v>
      </c>
      <c r="C2" s="2"/>
      <c r="D2" s="2"/>
      <c r="J2" s="23"/>
      <c r="K2" s="31" t="s">
        <v>28</v>
      </c>
    </row>
    <row r="3" spans="2:11" s="3" customFormat="1" ht="4.5" customHeight="1" thickBot="1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s="3" customFormat="1" ht="29.25" customHeight="1">
      <c r="B4" s="99" t="s">
        <v>29</v>
      </c>
      <c r="C4" s="99"/>
      <c r="D4" s="99"/>
      <c r="E4" s="100"/>
      <c r="F4" s="5" t="s">
        <v>30</v>
      </c>
      <c r="G4" s="5" t="s">
        <v>31</v>
      </c>
      <c r="H4" s="5" t="s">
        <v>32</v>
      </c>
      <c r="I4" s="6" t="s">
        <v>33</v>
      </c>
      <c r="J4" s="6" t="s">
        <v>34</v>
      </c>
      <c r="K4" s="6" t="s">
        <v>35</v>
      </c>
    </row>
    <row r="5" spans="2:11" s="13" customFormat="1" ht="16.5" customHeight="1">
      <c r="B5" s="11"/>
      <c r="C5" s="9" t="s">
        <v>8</v>
      </c>
      <c r="D5" s="11"/>
      <c r="E5" s="12" t="s">
        <v>36</v>
      </c>
      <c r="F5" s="32">
        <v>13350</v>
      </c>
      <c r="G5" s="33">
        <v>203738</v>
      </c>
      <c r="H5" s="33">
        <v>7226215964</v>
      </c>
      <c r="I5" s="20" t="s">
        <v>37</v>
      </c>
      <c r="J5" s="20" t="s">
        <v>37</v>
      </c>
      <c r="K5" s="20" t="s">
        <v>37</v>
      </c>
    </row>
    <row r="6" spans="2:11" s="13" customFormat="1" ht="16.5" customHeight="1">
      <c r="B6" s="11"/>
      <c r="C6" s="10"/>
      <c r="D6" s="11"/>
      <c r="E6" s="12" t="s">
        <v>38</v>
      </c>
      <c r="F6" s="32">
        <v>707471</v>
      </c>
      <c r="G6" s="33">
        <v>1226044</v>
      </c>
      <c r="H6" s="33">
        <v>9556859822</v>
      </c>
      <c r="I6" s="20" t="s">
        <v>37</v>
      </c>
      <c r="J6" s="20" t="s">
        <v>37</v>
      </c>
      <c r="K6" s="20" t="s">
        <v>37</v>
      </c>
    </row>
    <row r="7" spans="2:11" s="13" customFormat="1" ht="16.5" customHeight="1">
      <c r="B7" s="11"/>
      <c r="C7" s="10"/>
      <c r="D7" s="11"/>
      <c r="E7" s="12" t="s">
        <v>39</v>
      </c>
      <c r="F7" s="32">
        <v>165121</v>
      </c>
      <c r="G7" s="33">
        <v>319543</v>
      </c>
      <c r="H7" s="33">
        <v>2125898944</v>
      </c>
      <c r="I7" s="20" t="s">
        <v>37</v>
      </c>
      <c r="J7" s="20" t="s">
        <v>37</v>
      </c>
      <c r="K7" s="20" t="s">
        <v>37</v>
      </c>
    </row>
    <row r="8" spans="2:11" s="13" customFormat="1" ht="16.5" customHeight="1">
      <c r="B8" s="11"/>
      <c r="C8" s="10"/>
      <c r="D8" s="11"/>
      <c r="E8" s="12" t="s">
        <v>40</v>
      </c>
      <c r="F8" s="32">
        <v>350829</v>
      </c>
      <c r="G8" s="34">
        <v>454334</v>
      </c>
      <c r="H8" s="33">
        <v>3888806845</v>
      </c>
      <c r="I8" s="20" t="s">
        <v>37</v>
      </c>
      <c r="J8" s="20" t="s">
        <v>37</v>
      </c>
      <c r="K8" s="20" t="s">
        <v>37</v>
      </c>
    </row>
    <row r="9" spans="2:11" s="13" customFormat="1" ht="16.5" customHeight="1">
      <c r="B9" s="11"/>
      <c r="C9" s="10"/>
      <c r="D9" s="11"/>
      <c r="E9" s="16" t="s">
        <v>22</v>
      </c>
      <c r="F9" s="29">
        <f>SUM(F5:F8)</f>
        <v>1236771</v>
      </c>
      <c r="G9" s="30">
        <f>SUM(G5:G7)</f>
        <v>1749325</v>
      </c>
      <c r="H9" s="30">
        <f>SUM(H5:H8)</f>
        <v>22797781575</v>
      </c>
      <c r="I9" s="30">
        <v>16583788476</v>
      </c>
      <c r="J9" s="30">
        <v>4884625755</v>
      </c>
      <c r="K9" s="30">
        <v>1329367344</v>
      </c>
    </row>
    <row r="10" spans="2:11" s="13" customFormat="1" ht="16.5" customHeight="1">
      <c r="B10" s="12"/>
      <c r="C10" s="12" t="s">
        <v>9</v>
      </c>
      <c r="D10" s="12"/>
      <c r="E10" s="11"/>
      <c r="F10" s="32">
        <v>31528</v>
      </c>
      <c r="G10" s="20" t="s">
        <v>41</v>
      </c>
      <c r="H10" s="33">
        <v>299944381</v>
      </c>
      <c r="I10" s="33">
        <v>217965279</v>
      </c>
      <c r="J10" s="33">
        <v>58671605</v>
      </c>
      <c r="K10" s="33">
        <v>23307497</v>
      </c>
    </row>
    <row r="11" spans="2:11" s="13" customFormat="1" ht="16.5" customHeight="1">
      <c r="B11" s="117" t="s">
        <v>19</v>
      </c>
      <c r="C11" s="117"/>
      <c r="D11" s="117"/>
      <c r="E11" s="114"/>
      <c r="F11" s="29">
        <f>F9+F10</f>
        <v>1268299</v>
      </c>
      <c r="G11" s="30">
        <f>G9</f>
        <v>1749325</v>
      </c>
      <c r="H11" s="30">
        <f>H9+H10</f>
        <v>23097725956</v>
      </c>
      <c r="I11" s="30">
        <f>I9+I10</f>
        <v>16801753755</v>
      </c>
      <c r="J11" s="30">
        <f>J9+J10</f>
        <v>4943297360</v>
      </c>
      <c r="K11" s="30">
        <f>K9+K10</f>
        <v>1352674841</v>
      </c>
    </row>
    <row r="12" spans="2:11" s="13" customFormat="1" ht="16.5" customHeight="1">
      <c r="C12" s="12" t="s">
        <v>42</v>
      </c>
      <c r="D12" s="12"/>
      <c r="F12" s="32">
        <v>449</v>
      </c>
      <c r="G12" s="20" t="s">
        <v>41</v>
      </c>
      <c r="H12" s="20" t="s">
        <v>41</v>
      </c>
      <c r="I12" s="33">
        <v>188050000</v>
      </c>
      <c r="J12" s="20" t="s">
        <v>41</v>
      </c>
      <c r="K12" s="20" t="s">
        <v>41</v>
      </c>
    </row>
    <row r="13" spans="2:11" s="13" customFormat="1" ht="16.5" customHeight="1">
      <c r="C13" s="12" t="s">
        <v>43</v>
      </c>
      <c r="D13" s="12"/>
      <c r="F13" s="32">
        <v>389</v>
      </c>
      <c r="G13" s="20" t="s">
        <v>41</v>
      </c>
      <c r="H13" s="20" t="s">
        <v>41</v>
      </c>
      <c r="I13" s="33">
        <v>19450000</v>
      </c>
      <c r="J13" s="20" t="s">
        <v>41</v>
      </c>
      <c r="K13" s="20" t="s">
        <v>41</v>
      </c>
    </row>
    <row r="14" spans="2:11" s="13" customFormat="1" ht="16.5" customHeight="1">
      <c r="C14" s="12" t="s">
        <v>44</v>
      </c>
      <c r="D14" s="12"/>
      <c r="F14" s="32">
        <v>25242</v>
      </c>
      <c r="G14" s="20" t="s">
        <v>41</v>
      </c>
      <c r="H14" s="20" t="s">
        <v>41</v>
      </c>
      <c r="I14" s="33">
        <v>1709615063</v>
      </c>
      <c r="J14" s="20" t="s">
        <v>41</v>
      </c>
      <c r="K14" s="20" t="s">
        <v>41</v>
      </c>
    </row>
    <row r="15" spans="2:11" s="13" customFormat="1" ht="16.5" customHeight="1">
      <c r="B15" s="113" t="s">
        <v>21</v>
      </c>
      <c r="C15" s="113"/>
      <c r="D15" s="113"/>
      <c r="E15" s="114"/>
      <c r="F15" s="29">
        <f>SUM(F12:F14)</f>
        <v>26080</v>
      </c>
      <c r="G15" s="20" t="s">
        <v>41</v>
      </c>
      <c r="H15" s="20" t="s">
        <v>41</v>
      </c>
      <c r="I15" s="30">
        <f>SUM(I12:I14)</f>
        <v>1917115063</v>
      </c>
      <c r="J15" s="20" t="s">
        <v>41</v>
      </c>
      <c r="K15" s="20" t="s">
        <v>41</v>
      </c>
    </row>
    <row r="16" spans="2:11" s="13" customFormat="1" ht="16.5" customHeight="1" thickBot="1">
      <c r="B16" s="115" t="s">
        <v>1</v>
      </c>
      <c r="C16" s="115"/>
      <c r="D16" s="115"/>
      <c r="E16" s="116"/>
      <c r="F16" s="21">
        <f>F11+F15</f>
        <v>1294379</v>
      </c>
      <c r="G16" s="22">
        <f>G11</f>
        <v>1749325</v>
      </c>
      <c r="H16" s="22">
        <f>H11</f>
        <v>23097725956</v>
      </c>
      <c r="I16" s="22">
        <f>I11+I15</f>
        <v>18718868818</v>
      </c>
      <c r="J16" s="22">
        <f>J11</f>
        <v>4943297360</v>
      </c>
      <c r="K16" s="22">
        <f>K11</f>
        <v>1352674841</v>
      </c>
    </row>
    <row r="17" spans="2:11" s="3" customFormat="1" ht="4.5" customHeight="1">
      <c r="F17" s="23"/>
      <c r="G17" s="23"/>
      <c r="H17" s="23"/>
      <c r="I17" s="23"/>
      <c r="J17" s="23"/>
      <c r="K17" s="23"/>
    </row>
    <row r="18" spans="2:11" s="3" customFormat="1" ht="4.5" customHeight="1">
      <c r="F18" s="23"/>
      <c r="G18" s="23"/>
      <c r="H18" s="23"/>
      <c r="I18" s="23"/>
      <c r="J18" s="23"/>
      <c r="K18" s="23"/>
    </row>
    <row r="19" spans="2:11" s="3" customFormat="1" ht="12.75" customHeight="1">
      <c r="B19" s="14" t="s">
        <v>2</v>
      </c>
      <c r="C19" s="7"/>
      <c r="D19" s="7"/>
      <c r="E19" s="7"/>
      <c r="F19" s="24"/>
      <c r="G19" s="23"/>
      <c r="H19" s="23"/>
      <c r="I19" s="23"/>
      <c r="J19" s="23"/>
      <c r="K19" s="31" t="s">
        <v>28</v>
      </c>
    </row>
    <row r="20" spans="2:11" s="3" customFormat="1" ht="4.5" customHeight="1" thickBot="1">
      <c r="B20" s="4"/>
      <c r="C20" s="4"/>
      <c r="D20" s="4"/>
      <c r="E20" s="4"/>
      <c r="F20" s="25"/>
      <c r="G20" s="25"/>
      <c r="H20" s="25"/>
      <c r="I20" s="25"/>
      <c r="J20" s="25"/>
      <c r="K20" s="25"/>
    </row>
    <row r="21" spans="2:11" s="3" customFormat="1" ht="26.4">
      <c r="B21" s="99" t="s">
        <v>29</v>
      </c>
      <c r="C21" s="99"/>
      <c r="D21" s="99"/>
      <c r="E21" s="100"/>
      <c r="F21" s="26" t="s">
        <v>30</v>
      </c>
      <c r="G21" s="26" t="s">
        <v>31</v>
      </c>
      <c r="H21" s="26" t="s">
        <v>32</v>
      </c>
      <c r="I21" s="27" t="s">
        <v>33</v>
      </c>
      <c r="J21" s="27" t="s">
        <v>34</v>
      </c>
      <c r="K21" s="27" t="s">
        <v>35</v>
      </c>
    </row>
    <row r="22" spans="2:11" s="13" customFormat="1" ht="16.5" customHeight="1">
      <c r="B22" s="11"/>
      <c r="C22" s="9" t="s">
        <v>8</v>
      </c>
      <c r="D22" s="11"/>
      <c r="E22" s="12" t="s">
        <v>36</v>
      </c>
      <c r="F22" s="32">
        <v>1357</v>
      </c>
      <c r="G22" s="33">
        <v>20500</v>
      </c>
      <c r="H22" s="33">
        <v>823835856</v>
      </c>
      <c r="I22" s="20" t="s">
        <v>37</v>
      </c>
      <c r="J22" s="20" t="s">
        <v>37</v>
      </c>
      <c r="K22" s="20" t="s">
        <v>37</v>
      </c>
    </row>
    <row r="23" spans="2:11" s="13" customFormat="1" ht="16.5" customHeight="1">
      <c r="B23" s="11"/>
      <c r="C23" s="10"/>
      <c r="D23" s="11"/>
      <c r="E23" s="12" t="s">
        <v>38</v>
      </c>
      <c r="F23" s="32">
        <v>67255</v>
      </c>
      <c r="G23" s="33">
        <v>117759</v>
      </c>
      <c r="H23" s="33">
        <v>1052207980</v>
      </c>
      <c r="I23" s="20" t="s">
        <v>37</v>
      </c>
      <c r="J23" s="20" t="s">
        <v>37</v>
      </c>
      <c r="K23" s="20" t="s">
        <v>37</v>
      </c>
    </row>
    <row r="24" spans="2:11" s="13" customFormat="1" ht="16.5" customHeight="1">
      <c r="B24" s="11"/>
      <c r="C24" s="10"/>
      <c r="D24" s="11"/>
      <c r="E24" s="12" t="s">
        <v>39</v>
      </c>
      <c r="F24" s="32">
        <v>16639</v>
      </c>
      <c r="G24" s="33">
        <v>32672</v>
      </c>
      <c r="H24" s="33">
        <v>212962040</v>
      </c>
      <c r="I24" s="20" t="s">
        <v>37</v>
      </c>
      <c r="J24" s="20" t="s">
        <v>37</v>
      </c>
      <c r="K24" s="20" t="s">
        <v>37</v>
      </c>
    </row>
    <row r="25" spans="2:11" s="13" customFormat="1" ht="16.5" customHeight="1">
      <c r="B25" s="11"/>
      <c r="C25" s="10"/>
      <c r="D25" s="11"/>
      <c r="E25" s="12" t="s">
        <v>40</v>
      </c>
      <c r="F25" s="32">
        <v>33966</v>
      </c>
      <c r="G25" s="33">
        <v>43215</v>
      </c>
      <c r="H25" s="33">
        <v>420943700</v>
      </c>
      <c r="I25" s="20" t="s">
        <v>37</v>
      </c>
      <c r="J25" s="20" t="s">
        <v>37</v>
      </c>
      <c r="K25" s="20" t="s">
        <v>37</v>
      </c>
    </row>
    <row r="26" spans="2:11" s="13" customFormat="1" ht="16.5" customHeight="1">
      <c r="B26" s="11"/>
      <c r="C26" s="10"/>
      <c r="D26" s="11"/>
      <c r="E26" s="16" t="s">
        <v>22</v>
      </c>
      <c r="F26" s="29">
        <f>SUM(F22:F25)</f>
        <v>119217</v>
      </c>
      <c r="G26" s="30">
        <f>SUM(G22:G24)</f>
        <v>170931</v>
      </c>
      <c r="H26" s="30">
        <f>SUM(H22:H25)</f>
        <v>2509949576</v>
      </c>
      <c r="I26" s="30">
        <v>1754919226</v>
      </c>
      <c r="J26" s="30">
        <v>658631737</v>
      </c>
      <c r="K26" s="30">
        <v>96398613</v>
      </c>
    </row>
    <row r="27" spans="2:11" s="13" customFormat="1" ht="16.5" customHeight="1">
      <c r="B27" s="12"/>
      <c r="C27" s="12" t="s">
        <v>9</v>
      </c>
      <c r="D27" s="12"/>
      <c r="E27" s="11"/>
      <c r="F27" s="32">
        <v>2747</v>
      </c>
      <c r="G27" s="20" t="s">
        <v>41</v>
      </c>
      <c r="H27" s="33">
        <v>26313107</v>
      </c>
      <c r="I27" s="33">
        <v>18424222</v>
      </c>
      <c r="J27" s="33">
        <v>6271271</v>
      </c>
      <c r="K27" s="33">
        <v>1617614</v>
      </c>
    </row>
    <row r="28" spans="2:11" s="13" customFormat="1" ht="16.5" customHeight="1">
      <c r="B28" s="117" t="s">
        <v>45</v>
      </c>
      <c r="C28" s="117"/>
      <c r="D28" s="117"/>
      <c r="E28" s="114"/>
      <c r="F28" s="29">
        <f>F26+F27</f>
        <v>121964</v>
      </c>
      <c r="G28" s="30">
        <f>G26</f>
        <v>170931</v>
      </c>
      <c r="H28" s="30">
        <f>H26+H27</f>
        <v>2536262683</v>
      </c>
      <c r="I28" s="30">
        <f>I26+I27</f>
        <v>1773343448</v>
      </c>
      <c r="J28" s="30">
        <f>J26+J27</f>
        <v>664903008</v>
      </c>
      <c r="K28" s="30">
        <f>K26+K27</f>
        <v>98016227</v>
      </c>
    </row>
    <row r="29" spans="2:11" s="13" customFormat="1" ht="16.5" customHeight="1">
      <c r="C29" s="12" t="s">
        <v>42</v>
      </c>
      <c r="D29" s="12"/>
      <c r="F29" s="28" t="s">
        <v>41</v>
      </c>
      <c r="G29" s="20" t="s">
        <v>41</v>
      </c>
      <c r="H29" s="20" t="s">
        <v>41</v>
      </c>
      <c r="I29" s="20" t="s">
        <v>41</v>
      </c>
      <c r="J29" s="20" t="s">
        <v>41</v>
      </c>
      <c r="K29" s="20" t="s">
        <v>41</v>
      </c>
    </row>
    <row r="30" spans="2:11" s="13" customFormat="1" ht="16.5" customHeight="1">
      <c r="C30" s="12" t="s">
        <v>43</v>
      </c>
      <c r="D30" s="12"/>
      <c r="F30" s="28" t="s">
        <v>41</v>
      </c>
      <c r="G30" s="20" t="s">
        <v>41</v>
      </c>
      <c r="H30" s="20" t="s">
        <v>41</v>
      </c>
      <c r="I30" s="20" t="s">
        <v>41</v>
      </c>
      <c r="J30" s="20" t="s">
        <v>41</v>
      </c>
      <c r="K30" s="20" t="s">
        <v>41</v>
      </c>
    </row>
    <row r="31" spans="2:11" s="13" customFormat="1" ht="16.5" customHeight="1">
      <c r="C31" s="12" t="s">
        <v>44</v>
      </c>
      <c r="D31" s="12"/>
      <c r="F31" s="32">
        <v>2277</v>
      </c>
      <c r="G31" s="20" t="s">
        <v>41</v>
      </c>
      <c r="H31" s="20" t="s">
        <v>41</v>
      </c>
      <c r="I31" s="33">
        <v>248441706</v>
      </c>
      <c r="J31" s="20" t="s">
        <v>41</v>
      </c>
      <c r="K31" s="20" t="s">
        <v>41</v>
      </c>
    </row>
    <row r="32" spans="2:11" s="13" customFormat="1" ht="16.5" customHeight="1">
      <c r="B32" s="113" t="s">
        <v>21</v>
      </c>
      <c r="C32" s="113"/>
      <c r="D32" s="113"/>
      <c r="E32" s="114"/>
      <c r="F32" s="29">
        <f>SUM(F29:F31)</f>
        <v>2277</v>
      </c>
      <c r="G32" s="20" t="s">
        <v>41</v>
      </c>
      <c r="H32" s="20" t="s">
        <v>41</v>
      </c>
      <c r="I32" s="30">
        <f>SUM(I29:I31)</f>
        <v>248441706</v>
      </c>
      <c r="J32" s="20" t="s">
        <v>41</v>
      </c>
      <c r="K32" s="20" t="s">
        <v>41</v>
      </c>
    </row>
    <row r="33" spans="2:11" s="13" customFormat="1" ht="16.5" customHeight="1" thickBot="1">
      <c r="B33" s="115" t="s">
        <v>1</v>
      </c>
      <c r="C33" s="115"/>
      <c r="D33" s="115"/>
      <c r="E33" s="116"/>
      <c r="F33" s="17">
        <f>F28+F32</f>
        <v>124241</v>
      </c>
      <c r="G33" s="18">
        <f>G28</f>
        <v>170931</v>
      </c>
      <c r="H33" s="18">
        <f>H28</f>
        <v>2536262683</v>
      </c>
      <c r="I33" s="18">
        <f>I28+I32</f>
        <v>2021785154</v>
      </c>
      <c r="J33" s="18">
        <f>J28</f>
        <v>664903008</v>
      </c>
      <c r="K33" s="18">
        <f>K28</f>
        <v>98016227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3:E33"/>
    <mergeCell ref="B21:E21"/>
    <mergeCell ref="B4:E4"/>
    <mergeCell ref="B16:E16"/>
    <mergeCell ref="B28:E28"/>
    <mergeCell ref="B32:E32"/>
    <mergeCell ref="B11:E11"/>
    <mergeCell ref="B15:E15"/>
  </mergeCells>
  <phoneticPr fontId="6"/>
  <pageMargins left="0.5" right="0.5" top="1.01" bottom="0.5" header="0.85" footer="0.51200000000000001"/>
  <pageSetup paperSize="9" scale="76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K51"/>
  <sheetViews>
    <sheetView showGridLines="0" defaultGridColor="0" colorId="22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H5" sqref="H5"/>
    </sheetView>
  </sheetViews>
  <sheetFormatPr defaultColWidth="8.59765625" defaultRowHeight="14.4"/>
  <cols>
    <col min="1" max="1" width="1.59765625" style="1" customWidth="1"/>
    <col min="2" max="2" width="2.796875" style="1" customWidth="1"/>
    <col min="3" max="3" width="2.796875" style="1" bestFit="1" customWidth="1"/>
    <col min="4" max="4" width="6.59765625" style="1" customWidth="1"/>
    <col min="5" max="5" width="14.296875" style="1" customWidth="1"/>
    <col min="6" max="6" width="11.19921875" style="1" bestFit="1" customWidth="1"/>
    <col min="7" max="7" width="11.19921875" style="1" customWidth="1"/>
    <col min="8" max="8" width="16.19921875" style="1" customWidth="1"/>
    <col min="9" max="9" width="17.296875" style="1" bestFit="1" customWidth="1"/>
    <col min="10" max="10" width="15.296875" style="1" customWidth="1"/>
    <col min="11" max="11" width="14.5" style="1" customWidth="1"/>
    <col min="12" max="16384" width="8.59765625" style="1"/>
  </cols>
  <sheetData>
    <row r="1" spans="2:11" ht="23.4">
      <c r="B1" s="19" t="s">
        <v>25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s="3" customFormat="1" ht="13.2">
      <c r="B2" s="9" t="s">
        <v>0</v>
      </c>
      <c r="C2" s="2"/>
      <c r="D2" s="2"/>
      <c r="J2" s="23"/>
      <c r="K2" s="31" t="s">
        <v>27</v>
      </c>
    </row>
    <row r="3" spans="2:11" s="3" customFormat="1" ht="4.5" customHeight="1" thickBot="1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s="3" customFormat="1" ht="29.25" customHeight="1">
      <c r="B4" s="99" t="s">
        <v>5</v>
      </c>
      <c r="C4" s="99"/>
      <c r="D4" s="99"/>
      <c r="E4" s="100"/>
      <c r="F4" s="5" t="s">
        <v>3</v>
      </c>
      <c r="G4" s="5" t="s">
        <v>4</v>
      </c>
      <c r="H4" s="5" t="s">
        <v>6</v>
      </c>
      <c r="I4" s="6" t="s">
        <v>17</v>
      </c>
      <c r="J4" s="6" t="s">
        <v>18</v>
      </c>
      <c r="K4" s="6" t="s">
        <v>7</v>
      </c>
    </row>
    <row r="5" spans="2:11" s="13" customFormat="1" ht="16.5" customHeight="1">
      <c r="B5" s="11"/>
      <c r="C5" s="9" t="s">
        <v>8</v>
      </c>
      <c r="D5" s="11"/>
      <c r="E5" s="12" t="s">
        <v>13</v>
      </c>
      <c r="F5" s="32">
        <v>13331</v>
      </c>
      <c r="G5" s="33">
        <v>206631</v>
      </c>
      <c r="H5" s="33">
        <v>6956012922</v>
      </c>
      <c r="I5" s="20" t="s">
        <v>23</v>
      </c>
      <c r="J5" s="20" t="s">
        <v>23</v>
      </c>
      <c r="K5" s="20" t="s">
        <v>23</v>
      </c>
    </row>
    <row r="6" spans="2:11" s="13" customFormat="1" ht="16.5" customHeight="1">
      <c r="B6" s="11"/>
      <c r="C6" s="10"/>
      <c r="D6" s="11"/>
      <c r="E6" s="12" t="s">
        <v>14</v>
      </c>
      <c r="F6" s="32">
        <v>699299</v>
      </c>
      <c r="G6" s="33">
        <v>1234448</v>
      </c>
      <c r="H6" s="33">
        <v>9326711728</v>
      </c>
      <c r="I6" s="20" t="s">
        <v>23</v>
      </c>
      <c r="J6" s="20" t="s">
        <v>23</v>
      </c>
      <c r="K6" s="20" t="s">
        <v>23</v>
      </c>
    </row>
    <row r="7" spans="2:11" s="13" customFormat="1" ht="16.5" customHeight="1">
      <c r="B7" s="11"/>
      <c r="C7" s="10"/>
      <c r="D7" s="11"/>
      <c r="E7" s="12" t="s">
        <v>15</v>
      </c>
      <c r="F7" s="32">
        <v>161000</v>
      </c>
      <c r="G7" s="33">
        <v>318677</v>
      </c>
      <c r="H7" s="33">
        <v>2095785850</v>
      </c>
      <c r="I7" s="20" t="s">
        <v>23</v>
      </c>
      <c r="J7" s="20" t="s">
        <v>23</v>
      </c>
      <c r="K7" s="20" t="s">
        <v>23</v>
      </c>
    </row>
    <row r="8" spans="2:11" s="13" customFormat="1" ht="16.5" customHeight="1">
      <c r="B8" s="11"/>
      <c r="C8" s="10"/>
      <c r="D8" s="11"/>
      <c r="E8" s="12" t="s">
        <v>16</v>
      </c>
      <c r="F8" s="32">
        <v>341268</v>
      </c>
      <c r="G8" s="34">
        <v>449470</v>
      </c>
      <c r="H8" s="33">
        <v>3837729130</v>
      </c>
      <c r="I8" s="20" t="s">
        <v>23</v>
      </c>
      <c r="J8" s="20" t="s">
        <v>23</v>
      </c>
      <c r="K8" s="20" t="s">
        <v>23</v>
      </c>
    </row>
    <row r="9" spans="2:11" s="13" customFormat="1" ht="16.5" customHeight="1">
      <c r="B9" s="11"/>
      <c r="C9" s="10"/>
      <c r="D9" s="11"/>
      <c r="E9" s="16" t="s">
        <v>22</v>
      </c>
      <c r="F9" s="29">
        <f>SUM(F5:F8)</f>
        <v>1214898</v>
      </c>
      <c r="G9" s="30">
        <f>SUM(G5:G7)</f>
        <v>1759756</v>
      </c>
      <c r="H9" s="30">
        <f>SUM(H5:H8)</f>
        <v>22216239630</v>
      </c>
      <c r="I9" s="30">
        <v>16149910603</v>
      </c>
      <c r="J9" s="30">
        <v>4761091014</v>
      </c>
      <c r="K9" s="30">
        <v>1305238013</v>
      </c>
    </row>
    <row r="10" spans="2:11" s="13" customFormat="1" ht="16.5" customHeight="1">
      <c r="B10" s="12"/>
      <c r="C10" s="12" t="s">
        <v>9</v>
      </c>
      <c r="D10" s="12"/>
      <c r="E10" s="11"/>
      <c r="F10" s="32">
        <v>31100</v>
      </c>
      <c r="G10" s="20" t="s">
        <v>23</v>
      </c>
      <c r="H10" s="33">
        <v>312098781</v>
      </c>
      <c r="I10" s="33">
        <v>226720516</v>
      </c>
      <c r="J10" s="33">
        <v>61594982</v>
      </c>
      <c r="K10" s="33">
        <v>23783283</v>
      </c>
    </row>
    <row r="11" spans="2:11" s="13" customFormat="1" ht="16.5" customHeight="1">
      <c r="B11" s="117" t="s">
        <v>19</v>
      </c>
      <c r="C11" s="117"/>
      <c r="D11" s="117"/>
      <c r="E11" s="114"/>
      <c r="F11" s="29">
        <f>F9+F10</f>
        <v>1245998</v>
      </c>
      <c r="G11" s="30">
        <f>G9</f>
        <v>1759756</v>
      </c>
      <c r="H11" s="30">
        <f>H9+H10</f>
        <v>22528338411</v>
      </c>
      <c r="I11" s="30">
        <f>I9+I10</f>
        <v>16376631119</v>
      </c>
      <c r="J11" s="30">
        <f>J9+J10</f>
        <v>4822685996</v>
      </c>
      <c r="K11" s="30">
        <f>K9+K10</f>
        <v>1329021296</v>
      </c>
    </row>
    <row r="12" spans="2:11" s="13" customFormat="1" ht="16.5" customHeight="1">
      <c r="C12" s="12" t="s">
        <v>10</v>
      </c>
      <c r="D12" s="12"/>
      <c r="F12" s="32">
        <v>490</v>
      </c>
      <c r="G12" s="20" t="s">
        <v>23</v>
      </c>
      <c r="H12" s="20" t="s">
        <v>23</v>
      </c>
      <c r="I12" s="33">
        <v>205110000</v>
      </c>
      <c r="J12" s="20" t="s">
        <v>23</v>
      </c>
      <c r="K12" s="20" t="s">
        <v>23</v>
      </c>
    </row>
    <row r="13" spans="2:11" s="13" customFormat="1" ht="16.5" customHeight="1">
      <c r="C13" s="12" t="s">
        <v>11</v>
      </c>
      <c r="D13" s="12"/>
      <c r="F13" s="32">
        <v>435</v>
      </c>
      <c r="G13" s="20" t="s">
        <v>23</v>
      </c>
      <c r="H13" s="20" t="s">
        <v>23</v>
      </c>
      <c r="I13" s="33">
        <v>21750000</v>
      </c>
      <c r="J13" s="20" t="s">
        <v>23</v>
      </c>
      <c r="K13" s="20" t="s">
        <v>23</v>
      </c>
    </row>
    <row r="14" spans="2:11" s="13" customFormat="1" ht="16.5" customHeight="1">
      <c r="C14" s="12" t="s">
        <v>12</v>
      </c>
      <c r="D14" s="12"/>
      <c r="F14" s="32">
        <v>24802</v>
      </c>
      <c r="G14" s="20" t="s">
        <v>23</v>
      </c>
      <c r="H14" s="20" t="s">
        <v>23</v>
      </c>
      <c r="I14" s="33">
        <v>1626474416</v>
      </c>
      <c r="J14" s="20" t="s">
        <v>23</v>
      </c>
      <c r="K14" s="20" t="s">
        <v>23</v>
      </c>
    </row>
    <row r="15" spans="2:11" s="13" customFormat="1" ht="16.5" customHeight="1">
      <c r="B15" s="113" t="s">
        <v>21</v>
      </c>
      <c r="C15" s="113"/>
      <c r="D15" s="113"/>
      <c r="E15" s="114"/>
      <c r="F15" s="29">
        <f>SUM(F12:F14)</f>
        <v>25727</v>
      </c>
      <c r="G15" s="20" t="s">
        <v>23</v>
      </c>
      <c r="H15" s="20" t="s">
        <v>23</v>
      </c>
      <c r="I15" s="30">
        <f>SUM(I12:I14)</f>
        <v>1853334416</v>
      </c>
      <c r="J15" s="20" t="s">
        <v>23</v>
      </c>
      <c r="K15" s="20" t="s">
        <v>23</v>
      </c>
    </row>
    <row r="16" spans="2:11" s="13" customFormat="1" ht="16.5" customHeight="1" thickBot="1">
      <c r="B16" s="115" t="s">
        <v>1</v>
      </c>
      <c r="C16" s="115"/>
      <c r="D16" s="115"/>
      <c r="E16" s="116"/>
      <c r="F16" s="21">
        <f>F11+F15</f>
        <v>1271725</v>
      </c>
      <c r="G16" s="22">
        <f>G11</f>
        <v>1759756</v>
      </c>
      <c r="H16" s="22">
        <f>H11</f>
        <v>22528338411</v>
      </c>
      <c r="I16" s="22">
        <f>I11+I15</f>
        <v>18229965535</v>
      </c>
      <c r="J16" s="22">
        <f>J11</f>
        <v>4822685996</v>
      </c>
      <c r="K16" s="22">
        <f>K11</f>
        <v>1329021296</v>
      </c>
    </row>
    <row r="17" spans="2:11" s="3" customFormat="1" ht="4.5" customHeight="1">
      <c r="F17" s="23"/>
      <c r="G17" s="23"/>
      <c r="H17" s="23"/>
      <c r="I17" s="23"/>
      <c r="J17" s="23"/>
      <c r="K17" s="23"/>
    </row>
    <row r="18" spans="2:11" s="3" customFormat="1" ht="4.5" customHeight="1">
      <c r="F18" s="23"/>
      <c r="G18" s="23"/>
      <c r="H18" s="23"/>
      <c r="I18" s="23"/>
      <c r="J18" s="23"/>
      <c r="K18" s="23"/>
    </row>
    <row r="19" spans="2:11" s="3" customFormat="1" ht="12.75" customHeight="1">
      <c r="B19" s="14" t="s">
        <v>2</v>
      </c>
      <c r="C19" s="7"/>
      <c r="D19" s="7"/>
      <c r="E19" s="7"/>
      <c r="F19" s="24"/>
      <c r="G19" s="23"/>
      <c r="H19" s="23"/>
      <c r="I19" s="23"/>
      <c r="J19" s="23"/>
      <c r="K19" s="31" t="s">
        <v>27</v>
      </c>
    </row>
    <row r="20" spans="2:11" s="3" customFormat="1" ht="4.5" customHeight="1" thickBot="1">
      <c r="B20" s="4"/>
      <c r="C20" s="4"/>
      <c r="D20" s="4"/>
      <c r="E20" s="4"/>
      <c r="F20" s="25"/>
      <c r="G20" s="25"/>
      <c r="H20" s="25"/>
      <c r="I20" s="25"/>
      <c r="J20" s="25"/>
      <c r="K20" s="25"/>
    </row>
    <row r="21" spans="2:11" s="3" customFormat="1" ht="26.4">
      <c r="B21" s="99" t="s">
        <v>5</v>
      </c>
      <c r="C21" s="99"/>
      <c r="D21" s="99"/>
      <c r="E21" s="100"/>
      <c r="F21" s="26" t="s">
        <v>3</v>
      </c>
      <c r="G21" s="26" t="s">
        <v>4</v>
      </c>
      <c r="H21" s="26" t="s">
        <v>6</v>
      </c>
      <c r="I21" s="27" t="s">
        <v>17</v>
      </c>
      <c r="J21" s="27" t="s">
        <v>18</v>
      </c>
      <c r="K21" s="27" t="s">
        <v>7</v>
      </c>
    </row>
    <row r="22" spans="2:11" s="13" customFormat="1" ht="16.5" customHeight="1">
      <c r="B22" s="11"/>
      <c r="C22" s="9" t="s">
        <v>8</v>
      </c>
      <c r="D22" s="11"/>
      <c r="E22" s="12" t="s">
        <v>13</v>
      </c>
      <c r="F22" s="32">
        <v>1563</v>
      </c>
      <c r="G22" s="33">
        <v>23910</v>
      </c>
      <c r="H22" s="33">
        <v>907651505</v>
      </c>
      <c r="I22" s="20" t="s">
        <v>23</v>
      </c>
      <c r="J22" s="20" t="s">
        <v>23</v>
      </c>
      <c r="K22" s="20" t="s">
        <v>23</v>
      </c>
    </row>
    <row r="23" spans="2:11" s="13" customFormat="1" ht="16.5" customHeight="1">
      <c r="B23" s="11"/>
      <c r="C23" s="10"/>
      <c r="D23" s="11"/>
      <c r="E23" s="12" t="s">
        <v>14</v>
      </c>
      <c r="F23" s="32">
        <v>72816</v>
      </c>
      <c r="G23" s="33">
        <v>130661</v>
      </c>
      <c r="H23" s="33">
        <v>1158378054</v>
      </c>
      <c r="I23" s="20" t="s">
        <v>23</v>
      </c>
      <c r="J23" s="20" t="s">
        <v>23</v>
      </c>
      <c r="K23" s="20" t="s">
        <v>23</v>
      </c>
    </row>
    <row r="24" spans="2:11" s="13" customFormat="1" ht="16.5" customHeight="1">
      <c r="B24" s="11"/>
      <c r="C24" s="10"/>
      <c r="D24" s="11"/>
      <c r="E24" s="12" t="s">
        <v>15</v>
      </c>
      <c r="F24" s="32">
        <v>17650</v>
      </c>
      <c r="G24" s="33">
        <v>35102</v>
      </c>
      <c r="H24" s="33">
        <v>227788410</v>
      </c>
      <c r="I24" s="20" t="s">
        <v>23</v>
      </c>
      <c r="J24" s="20" t="s">
        <v>23</v>
      </c>
      <c r="K24" s="20" t="s">
        <v>23</v>
      </c>
    </row>
    <row r="25" spans="2:11" s="13" customFormat="1" ht="16.5" customHeight="1">
      <c r="B25" s="11"/>
      <c r="C25" s="10"/>
      <c r="D25" s="11"/>
      <c r="E25" s="12" t="s">
        <v>16</v>
      </c>
      <c r="F25" s="32">
        <v>36397</v>
      </c>
      <c r="G25" s="33">
        <v>47141</v>
      </c>
      <c r="H25" s="33">
        <v>442526176</v>
      </c>
      <c r="I25" s="20" t="s">
        <v>23</v>
      </c>
      <c r="J25" s="20" t="s">
        <v>23</v>
      </c>
      <c r="K25" s="20" t="s">
        <v>23</v>
      </c>
    </row>
    <row r="26" spans="2:11" s="13" customFormat="1" ht="16.5" customHeight="1">
      <c r="B26" s="11"/>
      <c r="C26" s="10"/>
      <c r="D26" s="11"/>
      <c r="E26" s="16" t="s">
        <v>22</v>
      </c>
      <c r="F26" s="29">
        <f>SUM(F22:F25)</f>
        <v>128426</v>
      </c>
      <c r="G26" s="30">
        <f>SUM(G22:G24)</f>
        <v>189673</v>
      </c>
      <c r="H26" s="30">
        <f>SUM(H22:H25)</f>
        <v>2736344145</v>
      </c>
      <c r="I26" s="30">
        <v>1913519215</v>
      </c>
      <c r="J26" s="30">
        <v>707789264</v>
      </c>
      <c r="K26" s="30">
        <v>115035666</v>
      </c>
    </row>
    <row r="27" spans="2:11" s="13" customFormat="1" ht="16.5" customHeight="1">
      <c r="B27" s="12"/>
      <c r="C27" s="12" t="s">
        <v>9</v>
      </c>
      <c r="D27" s="12"/>
      <c r="E27" s="11"/>
      <c r="F27" s="32">
        <v>2819</v>
      </c>
      <c r="G27" s="20" t="s">
        <v>24</v>
      </c>
      <c r="H27" s="33">
        <v>30789777</v>
      </c>
      <c r="I27" s="33">
        <v>21558190</v>
      </c>
      <c r="J27" s="33">
        <v>7296902</v>
      </c>
      <c r="K27" s="33">
        <v>1934685</v>
      </c>
    </row>
    <row r="28" spans="2:11" s="13" customFormat="1" ht="16.5" customHeight="1">
      <c r="B28" s="117" t="s">
        <v>20</v>
      </c>
      <c r="C28" s="117"/>
      <c r="D28" s="117"/>
      <c r="E28" s="114"/>
      <c r="F28" s="29">
        <f>F26+F27</f>
        <v>131245</v>
      </c>
      <c r="G28" s="30">
        <f>G26</f>
        <v>189673</v>
      </c>
      <c r="H28" s="30">
        <f>H26+H27</f>
        <v>2767133922</v>
      </c>
      <c r="I28" s="30">
        <f>I26+I27</f>
        <v>1935077405</v>
      </c>
      <c r="J28" s="30">
        <f>J26+J27</f>
        <v>715086166</v>
      </c>
      <c r="K28" s="30">
        <f>K26+K27</f>
        <v>116970351</v>
      </c>
    </row>
    <row r="29" spans="2:11" s="13" customFormat="1" ht="16.5" customHeight="1">
      <c r="C29" s="12" t="s">
        <v>10</v>
      </c>
      <c r="D29" s="12"/>
      <c r="F29" s="28" t="s">
        <v>24</v>
      </c>
      <c r="G29" s="20" t="s">
        <v>23</v>
      </c>
      <c r="H29" s="20" t="s">
        <v>23</v>
      </c>
      <c r="I29" s="20" t="s">
        <v>23</v>
      </c>
      <c r="J29" s="20" t="s">
        <v>23</v>
      </c>
      <c r="K29" s="20" t="s">
        <v>23</v>
      </c>
    </row>
    <row r="30" spans="2:11" s="13" customFormat="1" ht="16.5" customHeight="1">
      <c r="C30" s="12" t="s">
        <v>11</v>
      </c>
      <c r="D30" s="12"/>
      <c r="F30" s="28" t="s">
        <v>24</v>
      </c>
      <c r="G30" s="20" t="s">
        <v>23</v>
      </c>
      <c r="H30" s="20" t="s">
        <v>23</v>
      </c>
      <c r="I30" s="20" t="s">
        <v>23</v>
      </c>
      <c r="J30" s="20" t="s">
        <v>23</v>
      </c>
      <c r="K30" s="20" t="s">
        <v>23</v>
      </c>
    </row>
    <row r="31" spans="2:11" s="13" customFormat="1" ht="16.5" customHeight="1">
      <c r="C31" s="12" t="s">
        <v>12</v>
      </c>
      <c r="D31" s="12"/>
      <c r="F31" s="32">
        <v>2337</v>
      </c>
      <c r="G31" s="20" t="s">
        <v>23</v>
      </c>
      <c r="H31" s="20" t="s">
        <v>23</v>
      </c>
      <c r="I31" s="33">
        <v>255546120</v>
      </c>
      <c r="J31" s="20" t="s">
        <v>23</v>
      </c>
      <c r="K31" s="20" t="s">
        <v>23</v>
      </c>
    </row>
    <row r="32" spans="2:11" s="13" customFormat="1" ht="16.5" customHeight="1">
      <c r="B32" s="113" t="s">
        <v>21</v>
      </c>
      <c r="C32" s="113"/>
      <c r="D32" s="113"/>
      <c r="E32" s="114"/>
      <c r="F32" s="29">
        <f>SUM(F29:F31)</f>
        <v>2337</v>
      </c>
      <c r="G32" s="20" t="s">
        <v>23</v>
      </c>
      <c r="H32" s="20" t="s">
        <v>23</v>
      </c>
      <c r="I32" s="30">
        <f>SUM(I29:I31)</f>
        <v>255546120</v>
      </c>
      <c r="J32" s="20" t="s">
        <v>23</v>
      </c>
      <c r="K32" s="20" t="s">
        <v>23</v>
      </c>
    </row>
    <row r="33" spans="2:11" s="13" customFormat="1" ht="16.5" customHeight="1" thickBot="1">
      <c r="B33" s="115" t="s">
        <v>1</v>
      </c>
      <c r="C33" s="115"/>
      <c r="D33" s="115"/>
      <c r="E33" s="116"/>
      <c r="F33" s="17">
        <f>F28+F32</f>
        <v>133582</v>
      </c>
      <c r="G33" s="18">
        <f>G28</f>
        <v>189673</v>
      </c>
      <c r="H33" s="18">
        <f>H28</f>
        <v>2767133922</v>
      </c>
      <c r="I33" s="18">
        <f>I28+I32</f>
        <v>2190623525</v>
      </c>
      <c r="J33" s="18">
        <f>J28</f>
        <v>715086166</v>
      </c>
      <c r="K33" s="18">
        <f>K28</f>
        <v>116970351</v>
      </c>
    </row>
    <row r="34" spans="2:11" s="3" customFormat="1" ht="4.5" customHeight="1"/>
    <row r="35" spans="2:11" s="3" customFormat="1" ht="13.2">
      <c r="B35" s="15" t="s">
        <v>26</v>
      </c>
      <c r="C35" s="14"/>
      <c r="D35" s="14"/>
      <c r="E35" s="14"/>
      <c r="G35" s="8"/>
    </row>
    <row r="36" spans="2:11" s="3" customFormat="1" ht="13.2"/>
    <row r="37" spans="2:11" s="3" customFormat="1" ht="13.2"/>
    <row r="38" spans="2:11" s="3" customFormat="1" ht="13.2"/>
    <row r="39" spans="2:11" s="3" customFormat="1" ht="13.2"/>
    <row r="40" spans="2:11" s="3" customFormat="1" ht="13.2"/>
    <row r="41" spans="2:11" s="3" customFormat="1" ht="13.2"/>
    <row r="42" spans="2:11" s="3" customFormat="1" ht="13.2"/>
    <row r="43" spans="2:11" s="3" customFormat="1" ht="13.2"/>
    <row r="44" spans="2:11" s="3" customFormat="1" ht="13.2"/>
    <row r="45" spans="2:11" s="3" customFormat="1" ht="13.2"/>
    <row r="46" spans="2:11" s="3" customFormat="1" ht="13.2"/>
    <row r="47" spans="2:11" s="3" customFormat="1" ht="13.2"/>
    <row r="48" spans="2:11" s="3" customFormat="1" ht="13.2"/>
    <row r="49" s="3" customFormat="1" ht="13.2"/>
    <row r="50" s="3" customFormat="1" ht="13.2"/>
    <row r="51" s="3" customFormat="1" ht="13.2"/>
  </sheetData>
  <mergeCells count="8">
    <mergeCell ref="B33:E33"/>
    <mergeCell ref="B21:E21"/>
    <mergeCell ref="B4:E4"/>
    <mergeCell ref="B16:E16"/>
    <mergeCell ref="B28:E28"/>
    <mergeCell ref="B32:E32"/>
    <mergeCell ref="B11:E11"/>
    <mergeCell ref="B15:E15"/>
  </mergeCells>
  <phoneticPr fontId="6"/>
  <pageMargins left="0.5" right="0.5" top="1.01" bottom="0.5" header="0.85" footer="0.51200000000000001"/>
  <pageSetup paperSize="9" scale="76" orientation="portrait" r:id="rId1"/>
  <headerFooter alignWithMargins="0"/>
  <ignoredErrors>
    <ignoredError sqref="I33 G28 G11" formula="1"/>
  </ignoredError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baseType="lpstr" size="28">
      <vt:lpstr>R6</vt:lpstr>
      <vt:lpstr>R5</vt:lpstr>
      <vt:lpstr>R4</vt:lpstr>
      <vt:lpstr>R3</vt:lpstr>
      <vt:lpstr>R2</vt:lpstr>
      <vt:lpstr>R1</vt:lpstr>
      <vt:lpstr>Ｈ30</vt:lpstr>
      <vt:lpstr>Ｈ29</vt:lpstr>
      <vt:lpstr>Ｈ28</vt:lpstr>
      <vt:lpstr>Ｈ27</vt:lpstr>
      <vt:lpstr>Ｈ26</vt:lpstr>
      <vt:lpstr>Ｈ25</vt:lpstr>
      <vt:lpstr>Ｈ24</vt:lpstr>
      <vt:lpstr>Ｈ23</vt:lpstr>
      <vt:lpstr>'Ｈ23'!Print_Area</vt:lpstr>
      <vt:lpstr>'Ｈ24'!Print_Area</vt:lpstr>
      <vt:lpstr>'Ｈ25'!Print_Area</vt:lpstr>
      <vt:lpstr>'Ｈ26'!Print_Area</vt:lpstr>
      <vt:lpstr>'Ｈ27'!Print_Area</vt:lpstr>
      <vt:lpstr>'Ｈ28'!Print_Area</vt:lpstr>
      <vt:lpstr>'Ｈ29'!Print_Area</vt:lpstr>
      <vt:lpstr>'Ｈ30'!Print_Area</vt:lpstr>
      <vt:lpstr>'R1'!Print_Area</vt:lpstr>
      <vt:lpstr>'R2'!Print_Area</vt:lpstr>
      <vt:lpstr>'R3'!Print_Area</vt:lpstr>
      <vt:lpstr>'R4'!Print_Area</vt:lpstr>
      <vt:lpstr>'R5'!Print_Area</vt:lpstr>
      <vt:lpstr>'R6'!Print_Area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2026-08-17T02:13:59Z</dcterms:created>
  <dcterms:modified xsi:type="dcterms:W3CDTF">2026-08-17T02:14:34Z</dcterms:modified>
</cp:coreProperties>
</file>